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9560" windowHeight="8250"/>
  </bookViews>
  <sheets>
    <sheet name="фин" sheetId="1" r:id="rId1"/>
    <sheet name="инд" sheetId="2" r:id="rId2"/>
    <sheet name="мб" sheetId="3" r:id="rId3"/>
    <sheet name="оценка" sheetId="5" r:id="rId4"/>
  </sheets>
  <calcPr calcId="145621"/>
</workbook>
</file>

<file path=xl/calcChain.xml><?xml version="1.0" encoding="utf-8"?>
<calcChain xmlns="http://schemas.openxmlformats.org/spreadsheetml/2006/main">
  <c r="S498" i="1" l="1"/>
  <c r="L498" i="1"/>
  <c r="F289" i="1" l="1"/>
  <c r="D430" i="3" l="1"/>
  <c r="F174" i="3"/>
  <c r="C180" i="3"/>
  <c r="C489" i="3"/>
  <c r="F489" i="3"/>
  <c r="F7" i="2"/>
  <c r="F41" i="3" l="1"/>
  <c r="E41" i="3"/>
  <c r="E244" i="3"/>
  <c r="F509" i="3" l="1"/>
  <c r="F508" i="3"/>
  <c r="F507" i="3"/>
  <c r="F506" i="3"/>
  <c r="F505" i="3"/>
  <c r="F504" i="3"/>
  <c r="F503" i="3"/>
  <c r="F502" i="3"/>
  <c r="F501" i="3"/>
  <c r="F500" i="3"/>
  <c r="F499" i="3"/>
  <c r="F498" i="3"/>
  <c r="F497" i="3"/>
  <c r="F496" i="3"/>
  <c r="F495" i="3"/>
  <c r="F494" i="3"/>
  <c r="F493" i="3"/>
  <c r="F492" i="3"/>
  <c r="F491" i="3"/>
  <c r="F490" i="3"/>
  <c r="F488" i="3"/>
  <c r="F487" i="3"/>
  <c r="F486" i="3"/>
  <c r="F485" i="3"/>
  <c r="F484" i="3"/>
  <c r="F483" i="3"/>
  <c r="F482" i="3"/>
  <c r="F481" i="3"/>
  <c r="F480" i="3"/>
  <c r="F479" i="3"/>
  <c r="F478" i="3"/>
  <c r="F477" i="3"/>
  <c r="F476" i="3"/>
  <c r="F475" i="3"/>
  <c r="F474" i="3"/>
  <c r="F473" i="3"/>
  <c r="F472" i="3"/>
  <c r="F471" i="3"/>
  <c r="F470" i="3"/>
  <c r="F469" i="3"/>
  <c r="F468" i="3"/>
  <c r="F467" i="3"/>
  <c r="F466" i="3"/>
  <c r="F465" i="3"/>
  <c r="F464" i="3"/>
  <c r="D76" i="3" l="1"/>
  <c r="D68" i="3"/>
  <c r="D51" i="3"/>
  <c r="D50" i="3"/>
  <c r="D27" i="3"/>
  <c r="D25" i="3"/>
  <c r="D21" i="3"/>
  <c r="E385" i="2" l="1"/>
  <c r="E232" i="2" l="1"/>
  <c r="F8" i="3" l="1"/>
  <c r="F385" i="3"/>
  <c r="E385" i="3"/>
  <c r="F242" i="2" l="1"/>
  <c r="D108" i="3" l="1"/>
  <c r="D139" i="3"/>
  <c r="K264" i="1"/>
  <c r="S264" i="1"/>
  <c r="L264" i="1"/>
  <c r="S253" i="1"/>
  <c r="S247" i="1"/>
  <c r="L253" i="1"/>
  <c r="L247" i="1"/>
  <c r="L243" i="1"/>
  <c r="L232" i="1"/>
  <c r="F253" i="1"/>
  <c r="F247" i="1"/>
  <c r="F244" i="1"/>
  <c r="F243" i="1" s="1"/>
  <c r="E243" i="1"/>
  <c r="F237" i="1"/>
  <c r="E237" i="1"/>
  <c r="F232" i="1"/>
  <c r="E232" i="1"/>
  <c r="F228" i="1"/>
  <c r="E227" i="1"/>
  <c r="F112" i="3"/>
  <c r="E112" i="3"/>
  <c r="I252" i="1"/>
  <c r="I261" i="1"/>
  <c r="I242" i="1"/>
  <c r="I241" i="1"/>
  <c r="I240" i="1"/>
  <c r="I239" i="1"/>
  <c r="I238" i="1"/>
  <c r="K243" i="1"/>
  <c r="K237" i="1"/>
  <c r="K232" i="1"/>
  <c r="N243" i="1"/>
  <c r="N227" i="1" s="1"/>
  <c r="R264" i="1"/>
  <c r="L228" i="1"/>
  <c r="L227" i="1" s="1"/>
  <c r="F227" i="1" l="1"/>
  <c r="D398" i="3"/>
  <c r="F197" i="2" l="1"/>
  <c r="F70" i="2"/>
  <c r="F47" i="2"/>
  <c r="E119" i="3" l="1"/>
  <c r="E509" i="3" l="1"/>
  <c r="E508" i="3"/>
  <c r="E507" i="3"/>
  <c r="E506" i="3"/>
  <c r="E505" i="3"/>
  <c r="E504" i="3"/>
  <c r="E503" i="3"/>
  <c r="E502" i="3"/>
  <c r="E501" i="3"/>
  <c r="E500" i="3"/>
  <c r="E499" i="3"/>
  <c r="E498" i="3"/>
  <c r="E497" i="3"/>
  <c r="E496" i="3"/>
  <c r="E495" i="3"/>
  <c r="E494" i="3"/>
  <c r="E493" i="3"/>
  <c r="E492" i="3"/>
  <c r="E491" i="3"/>
  <c r="E490" i="3"/>
  <c r="E489" i="3"/>
  <c r="E488" i="3"/>
  <c r="E487" i="3"/>
  <c r="E486" i="3"/>
  <c r="E485" i="3"/>
  <c r="E484" i="3"/>
  <c r="E482" i="3"/>
  <c r="E481" i="3"/>
  <c r="E480" i="3"/>
  <c r="E479" i="3"/>
  <c r="E478" i="3"/>
  <c r="E477" i="3"/>
  <c r="E476" i="3"/>
  <c r="E475" i="3"/>
  <c r="E473" i="3"/>
  <c r="E472" i="3"/>
  <c r="E471" i="3"/>
  <c r="E470" i="3"/>
  <c r="E469" i="3"/>
  <c r="E468" i="3"/>
  <c r="E467" i="3"/>
  <c r="E466" i="3"/>
  <c r="E465" i="3"/>
  <c r="E464" i="3"/>
  <c r="E456" i="3"/>
  <c r="D508" i="3"/>
  <c r="C508" i="3"/>
  <c r="C507" i="3" s="1"/>
  <c r="D507" i="3"/>
  <c r="D504" i="3"/>
  <c r="C504" i="3"/>
  <c r="D500" i="3"/>
  <c r="C500" i="3"/>
  <c r="D494" i="3"/>
  <c r="C494" i="3"/>
  <c r="D492" i="3"/>
  <c r="C492" i="3"/>
  <c r="D491" i="3"/>
  <c r="C491" i="3"/>
  <c r="D490" i="3"/>
  <c r="D489" i="3" s="1"/>
  <c r="C490" i="3"/>
  <c r="D486" i="3"/>
  <c r="C486" i="3"/>
  <c r="D483" i="3"/>
  <c r="C483" i="3"/>
  <c r="D480" i="3"/>
  <c r="C480" i="3"/>
  <c r="D477" i="3"/>
  <c r="C477" i="3"/>
  <c r="D474" i="3"/>
  <c r="C474" i="3"/>
  <c r="D473" i="3"/>
  <c r="C473" i="3"/>
  <c r="D472" i="3"/>
  <c r="C472" i="3"/>
  <c r="D465" i="3"/>
  <c r="D464" i="3" s="1"/>
  <c r="C465" i="3"/>
  <c r="C464" i="3"/>
  <c r="D463" i="3"/>
  <c r="C463" i="3"/>
  <c r="D462" i="3"/>
  <c r="C462" i="3"/>
  <c r="C461" i="3" s="1"/>
  <c r="C460" i="3" s="1"/>
  <c r="D461" i="3"/>
  <c r="D460" i="3" s="1"/>
  <c r="D456" i="3"/>
  <c r="C456" i="3"/>
  <c r="D455" i="3"/>
  <c r="C455" i="3"/>
  <c r="C454" i="3" s="1"/>
  <c r="C453" i="3" s="1"/>
  <c r="D454" i="3"/>
  <c r="D449" i="3"/>
  <c r="D448" i="3" s="1"/>
  <c r="C449" i="3"/>
  <c r="C448" i="3"/>
  <c r="D444" i="3"/>
  <c r="D443" i="3" s="1"/>
  <c r="C444" i="3"/>
  <c r="C443" i="3"/>
  <c r="D441" i="3"/>
  <c r="D440" i="3" s="1"/>
  <c r="D439" i="3" s="1"/>
  <c r="C441" i="3"/>
  <c r="C440" i="3"/>
  <c r="D434" i="3"/>
  <c r="C434" i="3"/>
  <c r="D432" i="3"/>
  <c r="D431" i="3" s="1"/>
  <c r="C432" i="3"/>
  <c r="C431" i="3"/>
  <c r="C439" i="3" l="1"/>
  <c r="C430" i="3"/>
  <c r="C429" i="3" s="1"/>
  <c r="D429" i="3"/>
  <c r="D516" i="3" s="1"/>
  <c r="C471" i="3"/>
  <c r="D453" i="3"/>
  <c r="D471" i="3"/>
  <c r="C516" i="3" l="1"/>
  <c r="F429" i="3"/>
  <c r="E429" i="3"/>
  <c r="E16" i="2" l="1"/>
  <c r="E11" i="2"/>
  <c r="L460" i="1" l="1"/>
  <c r="S460" i="1"/>
  <c r="L454" i="1"/>
  <c r="E433" i="3"/>
  <c r="E431" i="3"/>
  <c r="F514" i="3" l="1"/>
  <c r="C510" i="3"/>
  <c r="D243" i="3"/>
  <c r="F243" i="3" s="1"/>
  <c r="C243" i="3"/>
  <c r="E245" i="3"/>
  <c r="E236" i="3"/>
  <c r="F227" i="3"/>
  <c r="E227" i="3"/>
  <c r="E174" i="3"/>
  <c r="E243" i="3" l="1"/>
  <c r="D153" i="3"/>
  <c r="E182" i="2" l="1"/>
  <c r="L89" i="1" l="1"/>
  <c r="F131" i="1" l="1"/>
  <c r="Q72" i="1" l="1"/>
  <c r="Q71" i="1"/>
  <c r="P74" i="1"/>
  <c r="R72" i="1"/>
  <c r="R71" i="1" s="1"/>
  <c r="L72" i="1"/>
  <c r="H136" i="1" l="1"/>
  <c r="F151" i="1"/>
  <c r="F147" i="1"/>
  <c r="F143" i="1"/>
  <c r="F136" i="1" l="1"/>
  <c r="F122" i="1"/>
  <c r="E43" i="2" l="1"/>
  <c r="E46" i="2"/>
  <c r="S217" i="1" l="1"/>
  <c r="L217" i="1"/>
  <c r="S211" i="1"/>
  <c r="L211" i="1"/>
  <c r="D167" i="3"/>
  <c r="C167" i="3"/>
  <c r="F162" i="3"/>
  <c r="E162" i="3"/>
  <c r="D161" i="3"/>
  <c r="C161" i="3"/>
  <c r="D393" i="3" l="1"/>
  <c r="D109" i="3" l="1"/>
  <c r="C109" i="3"/>
  <c r="S412" i="1" l="1"/>
  <c r="S416" i="1"/>
  <c r="C393" i="3" l="1"/>
  <c r="D387" i="3"/>
  <c r="C387" i="3"/>
  <c r="D384" i="3"/>
  <c r="C384" i="3"/>
  <c r="C383" i="3" l="1"/>
  <c r="L147" i="1" l="1"/>
  <c r="S89" i="1"/>
  <c r="D230" i="3" l="1"/>
  <c r="C230" i="3"/>
  <c r="I200" i="1"/>
  <c r="P200" i="1"/>
  <c r="I493" i="1" l="1"/>
  <c r="L489" i="1"/>
  <c r="D214" i="3" l="1"/>
  <c r="C214" i="3"/>
  <c r="F229" i="3"/>
  <c r="E229" i="3"/>
  <c r="L173" i="1" l="1"/>
  <c r="S173" i="1" l="1"/>
  <c r="P192" i="1"/>
  <c r="D158" i="3" l="1"/>
  <c r="C158" i="3"/>
  <c r="C157" i="3" s="1"/>
  <c r="D159" i="3"/>
  <c r="E159" i="3" s="1"/>
  <c r="C159" i="3"/>
  <c r="F159" i="3" l="1"/>
  <c r="D157" i="3"/>
  <c r="C398" i="3"/>
  <c r="D412" i="3"/>
  <c r="L440" i="1" l="1"/>
  <c r="L116" i="1"/>
  <c r="C27" i="3"/>
  <c r="C25" i="3" s="1"/>
  <c r="F32" i="3" l="1"/>
  <c r="E32" i="3"/>
  <c r="C7" i="3"/>
  <c r="L216" i="1" l="1"/>
  <c r="D172" i="3" l="1"/>
  <c r="C172" i="3"/>
  <c r="D165" i="3"/>
  <c r="C165" i="3"/>
  <c r="D169" i="3"/>
  <c r="C169" i="3"/>
  <c r="D168" i="3"/>
  <c r="C168" i="3"/>
  <c r="F149" i="2" l="1"/>
  <c r="E158" i="2"/>
  <c r="E156" i="2"/>
  <c r="E152" i="2"/>
  <c r="E151" i="2"/>
  <c r="F150" i="3" l="1"/>
  <c r="E150" i="3"/>
  <c r="C139" i="3"/>
  <c r="F149" i="3"/>
  <c r="E149" i="3"/>
  <c r="P276" i="1"/>
  <c r="P274" i="1"/>
  <c r="I276" i="1"/>
  <c r="I274" i="1"/>
  <c r="S228" i="1"/>
  <c r="D192" i="3" l="1"/>
  <c r="S285" i="1"/>
  <c r="S283" i="1" s="1"/>
  <c r="E249" i="3" l="1"/>
  <c r="D250" i="3"/>
  <c r="E256" i="3"/>
  <c r="E252" i="3"/>
  <c r="C250" i="3"/>
  <c r="R376" i="1"/>
  <c r="R374" i="1"/>
  <c r="K376" i="1"/>
  <c r="K374" i="1"/>
  <c r="C345" i="1" l="1"/>
  <c r="H343" i="1"/>
  <c r="H342" i="1" s="1"/>
  <c r="L394" i="1" l="1"/>
  <c r="L373" i="1" s="1"/>
  <c r="D254" i="3" l="1"/>
  <c r="F262" i="2"/>
  <c r="S69" i="1"/>
  <c r="L69" i="1"/>
  <c r="L44" i="1" l="1"/>
  <c r="L38" i="1"/>
  <c r="S44" i="1"/>
  <c r="S38" i="1"/>
  <c r="S34" i="1" s="1"/>
  <c r="U49" i="1"/>
  <c r="U47" i="1"/>
  <c r="U44" i="1"/>
  <c r="U38" i="1"/>
  <c r="T34" i="1"/>
  <c r="L34" i="1" l="1"/>
  <c r="U34" i="1"/>
  <c r="P43" i="1"/>
  <c r="I43" i="1"/>
  <c r="I42" i="1"/>
  <c r="N38" i="1"/>
  <c r="N44" i="1"/>
  <c r="N49" i="1" l="1"/>
  <c r="M34" i="1" l="1"/>
  <c r="H301" i="1" l="1"/>
  <c r="H370" i="1"/>
  <c r="K343" i="1"/>
  <c r="K342" i="1" s="1"/>
  <c r="K327" i="1"/>
  <c r="K326" i="1" s="1"/>
  <c r="K317" i="1"/>
  <c r="K306" i="1" s="1"/>
  <c r="J301" i="1"/>
  <c r="K301" i="1"/>
  <c r="L326" i="1"/>
  <c r="N327" i="1"/>
  <c r="N326" i="1" s="1"/>
  <c r="R373" i="1"/>
  <c r="S311" i="1"/>
  <c r="S306" i="1" s="1"/>
  <c r="S378" i="1"/>
  <c r="S373" i="1" s="1"/>
  <c r="U326" i="1"/>
  <c r="K373" i="1" l="1"/>
  <c r="E112" i="2"/>
  <c r="D103" i="2"/>
  <c r="D102" i="2"/>
  <c r="D101" i="2"/>
  <c r="E84" i="2"/>
  <c r="D88" i="2"/>
  <c r="C88" i="2"/>
  <c r="E88" i="2" s="1"/>
  <c r="E89" i="2"/>
  <c r="E87" i="2"/>
  <c r="E86" i="2"/>
  <c r="E85" i="2"/>
  <c r="E81" i="2"/>
  <c r="E80" i="2"/>
  <c r="E79" i="2"/>
  <c r="E78" i="2"/>
  <c r="E77" i="2"/>
  <c r="E76" i="2"/>
  <c r="E75" i="2"/>
  <c r="E74" i="2"/>
  <c r="F104" i="3" l="1"/>
  <c r="E104" i="3"/>
  <c r="F103" i="3"/>
  <c r="E103" i="3"/>
  <c r="F102" i="3"/>
  <c r="E102" i="3"/>
  <c r="F101" i="3"/>
  <c r="E101" i="3"/>
  <c r="F100" i="3"/>
  <c r="E100" i="3"/>
  <c r="F99" i="3"/>
  <c r="E99" i="3"/>
  <c r="F98" i="3"/>
  <c r="E98" i="3"/>
  <c r="F97" i="3"/>
  <c r="E97" i="3"/>
  <c r="F96" i="3"/>
  <c r="E96" i="3"/>
  <c r="F95" i="3"/>
  <c r="E95" i="3"/>
  <c r="F162" i="1"/>
  <c r="F188" i="3" l="1"/>
  <c r="E188" i="3"/>
  <c r="F187" i="3"/>
  <c r="E187" i="3"/>
  <c r="D186" i="3"/>
  <c r="C186" i="3"/>
  <c r="F186" i="3" s="1"/>
  <c r="F185" i="3"/>
  <c r="E185" i="3"/>
  <c r="F184" i="3"/>
  <c r="E184" i="3"/>
  <c r="D183" i="3"/>
  <c r="D180" i="3" s="1"/>
  <c r="D173" i="3" s="1"/>
  <c r="C183" i="3"/>
  <c r="F182" i="3"/>
  <c r="E182" i="3"/>
  <c r="F181" i="3"/>
  <c r="E181" i="3"/>
  <c r="F179" i="3"/>
  <c r="E179" i="3"/>
  <c r="F178" i="3"/>
  <c r="E178" i="3"/>
  <c r="F177" i="3"/>
  <c r="E177" i="3"/>
  <c r="F176" i="3"/>
  <c r="E176" i="3"/>
  <c r="F175" i="3"/>
  <c r="E175" i="3"/>
  <c r="F183" i="3" l="1"/>
  <c r="E180" i="3"/>
  <c r="E183" i="3"/>
  <c r="E186" i="3"/>
  <c r="T400" i="1"/>
  <c r="F180" i="3" l="1"/>
  <c r="C173" i="3"/>
  <c r="F129" i="2"/>
  <c r="F173" i="3" l="1"/>
  <c r="E173" i="3"/>
  <c r="E51" i="2"/>
  <c r="E513" i="3"/>
  <c r="E512" i="3"/>
  <c r="E511" i="3"/>
  <c r="E446" i="3"/>
  <c r="E445" i="3"/>
  <c r="E444" i="3"/>
  <c r="E400" i="3"/>
  <c r="E395" i="3"/>
  <c r="E296" i="3"/>
  <c r="E217" i="3"/>
  <c r="E169" i="3"/>
  <c r="E167" i="3"/>
  <c r="E165" i="3"/>
  <c r="E158" i="3"/>
  <c r="E88" i="3"/>
  <c r="E87" i="3"/>
  <c r="E64" i="3"/>
  <c r="E63" i="3"/>
  <c r="E62" i="3"/>
  <c r="E61" i="3"/>
  <c r="E60" i="3"/>
  <c r="E58" i="3"/>
  <c r="E57" i="3"/>
  <c r="E56" i="3"/>
  <c r="E55" i="3"/>
  <c r="E54" i="3"/>
  <c r="E52" i="3"/>
  <c r="E49" i="3"/>
  <c r="E47" i="3"/>
  <c r="E43" i="3"/>
  <c r="E45" i="3"/>
  <c r="E40" i="3"/>
  <c r="E39" i="3"/>
  <c r="E38" i="3"/>
  <c r="E37" i="3"/>
  <c r="E35" i="3"/>
  <c r="E34" i="3"/>
  <c r="E33" i="3"/>
  <c r="E31" i="3"/>
  <c r="E30" i="3"/>
  <c r="E29" i="3"/>
  <c r="E28" i="3"/>
  <c r="E26" i="3"/>
  <c r="E24" i="3"/>
  <c r="E23" i="3"/>
  <c r="E18" i="3"/>
  <c r="E17" i="3"/>
  <c r="E15" i="3"/>
  <c r="E14" i="3"/>
  <c r="E13" i="3"/>
  <c r="E12" i="3"/>
  <c r="E11" i="3"/>
  <c r="E10" i="3"/>
  <c r="E9" i="3"/>
  <c r="E8" i="3"/>
  <c r="E233" i="3"/>
  <c r="E231" i="3"/>
  <c r="E152" i="3"/>
  <c r="E133" i="3"/>
  <c r="C124" i="3"/>
  <c r="F403" i="1" l="1"/>
  <c r="I192" i="1" l="1"/>
  <c r="C199" i="3"/>
  <c r="L162" i="1"/>
  <c r="E219" i="3" l="1"/>
  <c r="E218" i="3"/>
  <c r="E216" i="3"/>
  <c r="F222" i="3"/>
  <c r="F221" i="3"/>
  <c r="F220" i="3"/>
  <c r="F219" i="3"/>
  <c r="F218" i="3"/>
  <c r="F217" i="3"/>
  <c r="F216" i="3"/>
  <c r="E221" i="3"/>
  <c r="E222" i="3"/>
  <c r="E220" i="3"/>
  <c r="P191" i="1"/>
  <c r="I191" i="1"/>
  <c r="C191" i="1"/>
  <c r="P181" i="1"/>
  <c r="I181" i="1"/>
  <c r="P180" i="1"/>
  <c r="I180" i="1"/>
  <c r="C180" i="1"/>
  <c r="P179" i="1"/>
  <c r="I179" i="1"/>
  <c r="C179" i="1"/>
  <c r="P178" i="1"/>
  <c r="I178" i="1"/>
  <c r="C178" i="1"/>
  <c r="P177" i="1"/>
  <c r="I177" i="1"/>
  <c r="P176" i="1"/>
  <c r="I176" i="1"/>
  <c r="P175" i="1"/>
  <c r="I175" i="1"/>
  <c r="C175" i="1"/>
  <c r="F382" i="3" l="1"/>
  <c r="E382" i="3"/>
  <c r="C237" i="3" l="1"/>
  <c r="C59" i="3"/>
  <c r="C402" i="3"/>
  <c r="P183" i="1" l="1"/>
  <c r="I183" i="1"/>
  <c r="U173" i="1"/>
  <c r="T173" i="1"/>
  <c r="R173" i="1"/>
  <c r="N173" i="1"/>
  <c r="M173" i="1"/>
  <c r="K173" i="1"/>
  <c r="G173" i="1"/>
  <c r="F173" i="1"/>
  <c r="P190" i="1"/>
  <c r="I190" i="1"/>
  <c r="C190" i="1"/>
  <c r="P189" i="1"/>
  <c r="I189" i="1"/>
  <c r="C189" i="1"/>
  <c r="P188" i="1"/>
  <c r="I188" i="1"/>
  <c r="C188" i="1"/>
  <c r="P187" i="1"/>
  <c r="I187" i="1"/>
  <c r="C187" i="1"/>
  <c r="P174" i="1"/>
  <c r="I174" i="1"/>
  <c r="C361" i="3"/>
  <c r="C294" i="3"/>
  <c r="C173" i="1" l="1"/>
  <c r="C261" i="1" l="1"/>
  <c r="C252" i="1"/>
  <c r="C242" i="1"/>
  <c r="C241" i="1"/>
  <c r="C240" i="1"/>
  <c r="C239" i="1"/>
  <c r="C278" i="1" l="1"/>
  <c r="C233" i="1"/>
  <c r="C228" i="1"/>
  <c r="C222" i="1"/>
  <c r="C221" i="1"/>
  <c r="C220" i="1"/>
  <c r="C219" i="1"/>
  <c r="C217" i="1"/>
  <c r="C216" i="1"/>
  <c r="C212" i="1"/>
  <c r="C209" i="1"/>
  <c r="C200" i="1"/>
  <c r="F486" i="1" l="1"/>
  <c r="C488" i="1"/>
  <c r="C487" i="1"/>
  <c r="E329" i="1"/>
  <c r="C445" i="1"/>
  <c r="C444" i="1"/>
  <c r="C442" i="1"/>
  <c r="C494" i="1"/>
  <c r="C479" i="1"/>
  <c r="F89" i="1"/>
  <c r="G213" i="1"/>
  <c r="G211" i="1" s="1"/>
  <c r="F208" i="1"/>
  <c r="L210" i="1"/>
  <c r="C401" i="1" l="1"/>
  <c r="D403" i="1"/>
  <c r="E403" i="1"/>
  <c r="G403" i="1"/>
  <c r="H403" i="1"/>
  <c r="C404" i="1"/>
  <c r="C405" i="1"/>
  <c r="C406" i="1"/>
  <c r="C408" i="1"/>
  <c r="C411" i="1"/>
  <c r="D412" i="1"/>
  <c r="E412" i="1"/>
  <c r="F412" i="1"/>
  <c r="G412" i="1"/>
  <c r="H412" i="1"/>
  <c r="C413" i="1"/>
  <c r="C414" i="1"/>
  <c r="G402" i="1" l="1"/>
  <c r="E402" i="1"/>
  <c r="F402" i="1"/>
  <c r="C407" i="1"/>
  <c r="H402" i="1"/>
  <c r="D402" i="1"/>
  <c r="C412" i="1"/>
  <c r="C403" i="1"/>
  <c r="C402" i="1" l="1"/>
  <c r="C480" i="1"/>
  <c r="C474" i="1"/>
  <c r="C33" i="1"/>
  <c r="F38" i="1"/>
  <c r="I488" i="1" l="1"/>
  <c r="E137" i="2"/>
  <c r="E45" i="2"/>
  <c r="E42" i="2"/>
  <c r="E9" i="2"/>
  <c r="E10" i="2"/>
  <c r="F513" i="3" l="1"/>
  <c r="F512" i="3"/>
  <c r="F511" i="3"/>
  <c r="D510" i="3"/>
  <c r="F463" i="3"/>
  <c r="E463" i="3"/>
  <c r="F461" i="3"/>
  <c r="E461" i="3"/>
  <c r="F460" i="3"/>
  <c r="E460" i="3"/>
  <c r="F459" i="3"/>
  <c r="E459" i="3"/>
  <c r="F458" i="3"/>
  <c r="E458" i="3"/>
  <c r="F457" i="3"/>
  <c r="E457" i="3"/>
  <c r="F456" i="3"/>
  <c r="F455" i="3"/>
  <c r="E455" i="3"/>
  <c r="F453" i="3"/>
  <c r="E453" i="3"/>
  <c r="F452" i="3"/>
  <c r="E452" i="3"/>
  <c r="F451" i="3"/>
  <c r="E451" i="3"/>
  <c r="F450" i="3"/>
  <c r="E450" i="3"/>
  <c r="F449" i="3"/>
  <c r="E449" i="3"/>
  <c r="F446" i="3"/>
  <c r="F445" i="3"/>
  <c r="F444" i="3"/>
  <c r="F441" i="3"/>
  <c r="E441" i="3"/>
  <c r="F439" i="3"/>
  <c r="E439" i="3"/>
  <c r="F438" i="3"/>
  <c r="E438" i="3"/>
  <c r="F437" i="3"/>
  <c r="E437" i="3"/>
  <c r="F434" i="3"/>
  <c r="E434" i="3"/>
  <c r="F433" i="3"/>
  <c r="F432" i="3"/>
  <c r="E432" i="3"/>
  <c r="F431" i="3"/>
  <c r="F430" i="3"/>
  <c r="F428" i="3"/>
  <c r="E428" i="3"/>
  <c r="D427" i="3"/>
  <c r="C427" i="3"/>
  <c r="F426" i="3"/>
  <c r="E426" i="3"/>
  <c r="F425" i="3"/>
  <c r="E425" i="3"/>
  <c r="D424" i="3"/>
  <c r="C424" i="3"/>
  <c r="F423" i="3"/>
  <c r="E423" i="3"/>
  <c r="F422" i="3"/>
  <c r="E422" i="3"/>
  <c r="F421" i="3"/>
  <c r="E421" i="3"/>
  <c r="D420" i="3"/>
  <c r="C420" i="3"/>
  <c r="F419" i="3"/>
  <c r="E419" i="3"/>
  <c r="F417" i="3"/>
  <c r="E417" i="3"/>
  <c r="F416" i="3"/>
  <c r="E416" i="3"/>
  <c r="F415" i="3"/>
  <c r="E415" i="3"/>
  <c r="F414" i="3"/>
  <c r="E414" i="3"/>
  <c r="F413" i="3"/>
  <c r="E413" i="3"/>
  <c r="C412" i="3"/>
  <c r="F411" i="3"/>
  <c r="E411" i="3"/>
  <c r="F410" i="3"/>
  <c r="E410" i="3"/>
  <c r="F409" i="3"/>
  <c r="F408" i="3"/>
  <c r="E408" i="3"/>
  <c r="F407" i="3"/>
  <c r="E407" i="3"/>
  <c r="F406" i="3"/>
  <c r="E406" i="3"/>
  <c r="F405" i="3"/>
  <c r="E405" i="3"/>
  <c r="F404" i="3"/>
  <c r="E404" i="3"/>
  <c r="F403" i="3"/>
  <c r="E403" i="3"/>
  <c r="D402" i="3"/>
  <c r="F401" i="3"/>
  <c r="E401" i="3"/>
  <c r="F400" i="3"/>
  <c r="F399" i="3"/>
  <c r="E399" i="3"/>
  <c r="F397" i="3"/>
  <c r="E397" i="3"/>
  <c r="D396" i="3"/>
  <c r="F395" i="3"/>
  <c r="F394" i="3"/>
  <c r="E393" i="3"/>
  <c r="F392" i="3"/>
  <c r="F391" i="3"/>
  <c r="F390" i="3"/>
  <c r="F389" i="3"/>
  <c r="F388" i="3"/>
  <c r="E388" i="3"/>
  <c r="F386" i="3"/>
  <c r="F384" i="3"/>
  <c r="E384" i="3"/>
  <c r="F380" i="3"/>
  <c r="E380" i="3"/>
  <c r="F379" i="3"/>
  <c r="E379" i="3"/>
  <c r="F378" i="3"/>
  <c r="D377" i="3"/>
  <c r="C377" i="3"/>
  <c r="F376" i="3"/>
  <c r="E376" i="3"/>
  <c r="D375" i="3"/>
  <c r="C375" i="3"/>
  <c r="F374" i="3"/>
  <c r="E374" i="3"/>
  <c r="D373" i="3"/>
  <c r="C373" i="3"/>
  <c r="F372" i="3"/>
  <c r="F371" i="3"/>
  <c r="F370" i="3"/>
  <c r="E370" i="3"/>
  <c r="F369" i="3"/>
  <c r="F368" i="3"/>
  <c r="E368" i="3"/>
  <c r="F367" i="3"/>
  <c r="E367" i="3"/>
  <c r="F366" i="3"/>
  <c r="E366" i="3"/>
  <c r="F365" i="3"/>
  <c r="E365" i="3"/>
  <c r="D361" i="3"/>
  <c r="D359" i="3"/>
  <c r="C359" i="3"/>
  <c r="D357" i="3"/>
  <c r="C357" i="3"/>
  <c r="D353" i="3"/>
  <c r="D352" i="3" s="1"/>
  <c r="C353" i="3"/>
  <c r="C352" i="3" s="1"/>
  <c r="D350" i="3"/>
  <c r="C350" i="3"/>
  <c r="D348" i="3"/>
  <c r="C348" i="3"/>
  <c r="D343" i="3"/>
  <c r="D342" i="3" s="1"/>
  <c r="C343" i="3"/>
  <c r="C342" i="3" s="1"/>
  <c r="D338" i="3"/>
  <c r="D337" i="3" s="1"/>
  <c r="C338" i="3"/>
  <c r="C337" i="3" s="1"/>
  <c r="F336" i="3"/>
  <c r="E336" i="3"/>
  <c r="D335" i="3"/>
  <c r="C335" i="3"/>
  <c r="D333" i="3"/>
  <c r="C333" i="3"/>
  <c r="D331" i="3"/>
  <c r="C331" i="3"/>
  <c r="D326" i="3"/>
  <c r="C326" i="3"/>
  <c r="D323" i="3"/>
  <c r="C323" i="3"/>
  <c r="D321" i="3"/>
  <c r="C321" i="3"/>
  <c r="D318" i="3"/>
  <c r="C318" i="3"/>
  <c r="F317" i="3"/>
  <c r="E317" i="3"/>
  <c r="D316" i="3"/>
  <c r="C316" i="3"/>
  <c r="D314" i="3"/>
  <c r="C314" i="3"/>
  <c r="F313" i="3"/>
  <c r="E313" i="3"/>
  <c r="D312" i="3"/>
  <c r="C312" i="3"/>
  <c r="D310" i="3"/>
  <c r="C310" i="3"/>
  <c r="D306" i="3"/>
  <c r="C306" i="3"/>
  <c r="D305" i="3"/>
  <c r="D303" i="3" s="1"/>
  <c r="C303" i="3"/>
  <c r="F299" i="3"/>
  <c r="E299" i="3"/>
  <c r="F297" i="3"/>
  <c r="E297" i="3"/>
  <c r="F296" i="3"/>
  <c r="F295" i="3"/>
  <c r="E295" i="3"/>
  <c r="D294" i="3"/>
  <c r="E294" i="3" s="1"/>
  <c r="D290" i="3"/>
  <c r="C290" i="3"/>
  <c r="D284" i="3"/>
  <c r="C284" i="3"/>
  <c r="D280" i="3"/>
  <c r="C280" i="3"/>
  <c r="F275" i="3"/>
  <c r="E275" i="3"/>
  <c r="D274" i="3"/>
  <c r="C274" i="3"/>
  <c r="F271" i="3"/>
  <c r="F270" i="3"/>
  <c r="F269" i="3"/>
  <c r="F268" i="3"/>
  <c r="D267" i="3"/>
  <c r="C267" i="3"/>
  <c r="C266" i="3" s="1"/>
  <c r="E265" i="3"/>
  <c r="F264" i="3"/>
  <c r="F263" i="3"/>
  <c r="D262" i="3"/>
  <c r="C262" i="3"/>
  <c r="F261" i="3"/>
  <c r="D260" i="3"/>
  <c r="D257" i="3" s="1"/>
  <c r="C260" i="3"/>
  <c r="C257" i="3" s="1"/>
  <c r="F259" i="3"/>
  <c r="F258" i="3"/>
  <c r="F256" i="3"/>
  <c r="F255" i="3"/>
  <c r="E255" i="3"/>
  <c r="C254" i="3"/>
  <c r="F252" i="3"/>
  <c r="F251" i="3"/>
  <c r="E251" i="3"/>
  <c r="F249" i="3"/>
  <c r="F248" i="3"/>
  <c r="F247" i="3"/>
  <c r="D246" i="3"/>
  <c r="C246" i="3"/>
  <c r="F245" i="3"/>
  <c r="F244" i="3"/>
  <c r="F241" i="3"/>
  <c r="E241" i="3"/>
  <c r="F240" i="3"/>
  <c r="F239" i="3"/>
  <c r="F238" i="3"/>
  <c r="E238" i="3"/>
  <c r="D237" i="3"/>
  <c r="E237" i="3" s="1"/>
  <c r="C235" i="3"/>
  <c r="F236" i="3"/>
  <c r="F233" i="3"/>
  <c r="F231" i="3"/>
  <c r="F228" i="3"/>
  <c r="E228" i="3"/>
  <c r="F226" i="3"/>
  <c r="E226" i="3"/>
  <c r="F225" i="3"/>
  <c r="E225" i="3"/>
  <c r="F224" i="3"/>
  <c r="F223" i="3"/>
  <c r="E223" i="3"/>
  <c r="F215" i="3"/>
  <c r="E215" i="3"/>
  <c r="F214" i="3"/>
  <c r="F213" i="3"/>
  <c r="E213" i="3"/>
  <c r="F212" i="3"/>
  <c r="E212" i="3"/>
  <c r="F211" i="3"/>
  <c r="E211" i="3"/>
  <c r="F210" i="3"/>
  <c r="E210" i="3"/>
  <c r="F209" i="3"/>
  <c r="E209" i="3"/>
  <c r="F208" i="3"/>
  <c r="E208" i="3"/>
  <c r="F207" i="3"/>
  <c r="E207" i="3"/>
  <c r="F206" i="3"/>
  <c r="E206" i="3"/>
  <c r="F205" i="3"/>
  <c r="E205" i="3"/>
  <c r="F204" i="3"/>
  <c r="E204" i="3"/>
  <c r="F203" i="3"/>
  <c r="E203" i="3"/>
  <c r="F202" i="3"/>
  <c r="E202" i="3"/>
  <c r="F201" i="3"/>
  <c r="E201" i="3"/>
  <c r="F200" i="3"/>
  <c r="E200" i="3"/>
  <c r="D199" i="3"/>
  <c r="F198" i="3"/>
  <c r="E198" i="3"/>
  <c r="F197" i="3"/>
  <c r="E197" i="3"/>
  <c r="D196" i="3"/>
  <c r="C196" i="3"/>
  <c r="F195" i="3"/>
  <c r="E195" i="3"/>
  <c r="F194" i="3"/>
  <c r="E194" i="3"/>
  <c r="F193" i="3"/>
  <c r="E193" i="3"/>
  <c r="C192" i="3"/>
  <c r="F190" i="3"/>
  <c r="E190" i="3"/>
  <c r="F172" i="3"/>
  <c r="E172" i="3"/>
  <c r="D171" i="3"/>
  <c r="C171" i="3"/>
  <c r="F170" i="3"/>
  <c r="E170" i="3"/>
  <c r="F169" i="3"/>
  <c r="C166" i="3"/>
  <c r="F167" i="3"/>
  <c r="F165" i="3"/>
  <c r="D164" i="3"/>
  <c r="C164" i="3"/>
  <c r="E163" i="3"/>
  <c r="E161" i="3"/>
  <c r="C160" i="3"/>
  <c r="F158" i="3"/>
  <c r="F155" i="3"/>
  <c r="E155" i="3"/>
  <c r="F154" i="3"/>
  <c r="E154" i="3"/>
  <c r="C153" i="3"/>
  <c r="F153" i="3" s="1"/>
  <c r="F152" i="3"/>
  <c r="F151" i="3"/>
  <c r="E151" i="3"/>
  <c r="F148" i="3"/>
  <c r="E148" i="3"/>
  <c r="F147" i="3"/>
  <c r="E147" i="3"/>
  <c r="F146" i="3"/>
  <c r="E146" i="3"/>
  <c r="F145" i="3"/>
  <c r="E145" i="3"/>
  <c r="F144" i="3"/>
  <c r="E144" i="3"/>
  <c r="F143" i="3"/>
  <c r="E143" i="3"/>
  <c r="F142" i="3"/>
  <c r="E142" i="3"/>
  <c r="F141" i="3"/>
  <c r="E141" i="3"/>
  <c r="F140" i="3"/>
  <c r="E140" i="3"/>
  <c r="F138" i="3"/>
  <c r="F137" i="3"/>
  <c r="E136" i="3"/>
  <c r="E135" i="3"/>
  <c r="E134" i="3"/>
  <c r="F133" i="3"/>
  <c r="F132" i="3"/>
  <c r="E132" i="3"/>
  <c r="F131" i="3"/>
  <c r="E131" i="3"/>
  <c r="F130" i="3"/>
  <c r="E130" i="3"/>
  <c r="D129" i="3"/>
  <c r="C129" i="3"/>
  <c r="F128" i="3"/>
  <c r="E128" i="3"/>
  <c r="F127" i="3"/>
  <c r="E127" i="3"/>
  <c r="F126" i="3"/>
  <c r="E126" i="3"/>
  <c r="F125" i="3"/>
  <c r="E125" i="3"/>
  <c r="D124" i="3"/>
  <c r="F124" i="3" s="1"/>
  <c r="F123" i="3"/>
  <c r="E123" i="3"/>
  <c r="F122" i="3"/>
  <c r="E122" i="3"/>
  <c r="D121" i="3"/>
  <c r="C121" i="3"/>
  <c r="C120" i="3" s="1"/>
  <c r="D118" i="3"/>
  <c r="C118" i="3"/>
  <c r="F117" i="3"/>
  <c r="E117" i="3"/>
  <c r="F116" i="3"/>
  <c r="E116" i="3"/>
  <c r="F115" i="3"/>
  <c r="E115" i="3"/>
  <c r="D114" i="3"/>
  <c r="C114" i="3"/>
  <c r="C113" i="3" s="1"/>
  <c r="F111" i="3"/>
  <c r="E111" i="3"/>
  <c r="F110" i="3"/>
  <c r="E110" i="3"/>
  <c r="F107" i="3"/>
  <c r="E107" i="3"/>
  <c r="F106" i="3"/>
  <c r="E106" i="3"/>
  <c r="D105" i="3"/>
  <c r="C105" i="3"/>
  <c r="D94" i="3"/>
  <c r="C94" i="3"/>
  <c r="C93" i="3"/>
  <c r="C92" i="3"/>
  <c r="F92" i="3" s="1"/>
  <c r="F91" i="3"/>
  <c r="E91" i="3"/>
  <c r="F90" i="3"/>
  <c r="E90" i="3"/>
  <c r="D89" i="3"/>
  <c r="F88" i="3"/>
  <c r="F87" i="3"/>
  <c r="C86" i="3"/>
  <c r="F86" i="3" s="1"/>
  <c r="D85" i="3"/>
  <c r="C84" i="3"/>
  <c r="F84" i="3" s="1"/>
  <c r="F83" i="3"/>
  <c r="E83" i="3"/>
  <c r="C82" i="3"/>
  <c r="D81" i="3"/>
  <c r="C80" i="3"/>
  <c r="F80" i="3" s="1"/>
  <c r="F79" i="3"/>
  <c r="E79" i="3"/>
  <c r="F78" i="3"/>
  <c r="E78" i="3"/>
  <c r="D77" i="3"/>
  <c r="F75" i="3"/>
  <c r="E75" i="3"/>
  <c r="D74" i="3"/>
  <c r="C74" i="3"/>
  <c r="F73" i="3"/>
  <c r="F72" i="3"/>
  <c r="E72" i="3"/>
  <c r="F71" i="3"/>
  <c r="E71" i="3"/>
  <c r="D70" i="3"/>
  <c r="C70" i="3"/>
  <c r="F67" i="3"/>
  <c r="F66" i="3"/>
  <c r="F65" i="3"/>
  <c r="F64" i="3"/>
  <c r="F63" i="3"/>
  <c r="F62" i="3"/>
  <c r="F61" i="3"/>
  <c r="F60" i="3"/>
  <c r="D59" i="3"/>
  <c r="E59" i="3" s="1"/>
  <c r="F58" i="3"/>
  <c r="F57" i="3"/>
  <c r="F56" i="3"/>
  <c r="F55" i="3"/>
  <c r="F54" i="3"/>
  <c r="D53" i="3"/>
  <c r="C53" i="3"/>
  <c r="F52" i="3"/>
  <c r="F49" i="3"/>
  <c r="F48" i="3"/>
  <c r="F47" i="3"/>
  <c r="D46" i="3"/>
  <c r="C46" i="3"/>
  <c r="F45" i="3"/>
  <c r="F43" i="3"/>
  <c r="F42" i="3"/>
  <c r="F40" i="3"/>
  <c r="F39" i="3"/>
  <c r="F38" i="3"/>
  <c r="F37" i="3"/>
  <c r="F35" i="3"/>
  <c r="F34" i="3"/>
  <c r="F33" i="3"/>
  <c r="F30" i="3"/>
  <c r="F29" i="3"/>
  <c r="F26" i="3"/>
  <c r="F24" i="3"/>
  <c r="F23" i="3"/>
  <c r="D22" i="3"/>
  <c r="C22" i="3"/>
  <c r="F20" i="3"/>
  <c r="E20" i="3"/>
  <c r="D19" i="3"/>
  <c r="C19" i="3"/>
  <c r="F18" i="3"/>
  <c r="F17" i="3"/>
  <c r="D16" i="3"/>
  <c r="C16" i="3"/>
  <c r="F15" i="3"/>
  <c r="F14" i="3"/>
  <c r="F13" i="3"/>
  <c r="F12" i="3"/>
  <c r="F11" i="3"/>
  <c r="F10" i="3"/>
  <c r="F9" i="3"/>
  <c r="D7" i="3"/>
  <c r="F510" i="3" l="1"/>
  <c r="E510" i="3"/>
  <c r="C68" i="3"/>
  <c r="E68" i="3" s="1"/>
  <c r="C108" i="3"/>
  <c r="E230" i="3"/>
  <c r="D253" i="3"/>
  <c r="D242" i="3"/>
  <c r="E25" i="3"/>
  <c r="E27" i="3"/>
  <c r="E53" i="3"/>
  <c r="D166" i="3"/>
  <c r="F166" i="3" s="1"/>
  <c r="E168" i="3"/>
  <c r="F192" i="3"/>
  <c r="C191" i="3"/>
  <c r="C189" i="3" s="1"/>
  <c r="E192" i="3"/>
  <c r="F274" i="3"/>
  <c r="F22" i="3"/>
  <c r="C320" i="3"/>
  <c r="C81" i="3"/>
  <c r="F121" i="3"/>
  <c r="F129" i="3"/>
  <c r="E335" i="3"/>
  <c r="E375" i="3"/>
  <c r="E377" i="3"/>
  <c r="D383" i="3"/>
  <c r="D273" i="3"/>
  <c r="E114" i="3"/>
  <c r="E118" i="3"/>
  <c r="F82" i="3"/>
  <c r="F81" i="3" s="1"/>
  <c r="F53" i="3"/>
  <c r="C51" i="3"/>
  <c r="C50" i="3" s="1"/>
  <c r="F109" i="3"/>
  <c r="F427" i="3"/>
  <c r="C6" i="3"/>
  <c r="E171" i="3"/>
  <c r="F246" i="3"/>
  <c r="D347" i="3"/>
  <c r="F393" i="3"/>
  <c r="F398" i="3"/>
  <c r="F443" i="3"/>
  <c r="F164" i="3"/>
  <c r="E94" i="3"/>
  <c r="E254" i="3"/>
  <c r="C77" i="3"/>
  <c r="C156" i="3"/>
  <c r="F254" i="3"/>
  <c r="D356" i="3"/>
  <c r="F420" i="3"/>
  <c r="E424" i="3"/>
  <c r="F448" i="3"/>
  <c r="F454" i="3"/>
  <c r="E462" i="3"/>
  <c r="F294" i="3"/>
  <c r="D320" i="3"/>
  <c r="D325" i="3"/>
  <c r="F462" i="3"/>
  <c r="F27" i="3"/>
  <c r="F25" i="3" s="1"/>
  <c r="E74" i="3"/>
  <c r="F157" i="3"/>
  <c r="F440" i="3"/>
  <c r="F118" i="3"/>
  <c r="D120" i="3"/>
  <c r="F199" i="3"/>
  <c r="F262" i="3"/>
  <c r="C289" i="3"/>
  <c r="F335" i="3"/>
  <c r="E373" i="3"/>
  <c r="E7" i="3"/>
  <c r="F16" i="3"/>
  <c r="C85" i="3"/>
  <c r="E85" i="3" s="1"/>
  <c r="F85" i="3"/>
  <c r="E121" i="3"/>
  <c r="E124" i="3"/>
  <c r="E129" i="3"/>
  <c r="E164" i="3"/>
  <c r="F168" i="3"/>
  <c r="F250" i="3"/>
  <c r="E316" i="3"/>
  <c r="E361" i="3"/>
  <c r="F377" i="3"/>
  <c r="E443" i="3"/>
  <c r="D309" i="3"/>
  <c r="F373" i="3"/>
  <c r="F424" i="3"/>
  <c r="E22" i="3"/>
  <c r="F46" i="3"/>
  <c r="F105" i="3"/>
  <c r="F163" i="3"/>
  <c r="F171" i="3"/>
  <c r="E214" i="3"/>
  <c r="F257" i="3"/>
  <c r="E274" i="3"/>
  <c r="E312" i="3"/>
  <c r="E387" i="3"/>
  <c r="F402" i="3"/>
  <c r="E412" i="3"/>
  <c r="E427" i="3"/>
  <c r="E440" i="3"/>
  <c r="E448" i="3"/>
  <c r="F77" i="3"/>
  <c r="F230" i="3"/>
  <c r="E46" i="3"/>
  <c r="E70" i="3"/>
  <c r="E105" i="3"/>
  <c r="E199" i="3"/>
  <c r="F260" i="3"/>
  <c r="F316" i="3"/>
  <c r="C325" i="3"/>
  <c r="C347" i="3"/>
  <c r="E454" i="3"/>
  <c r="E16" i="3"/>
  <c r="E19" i="3"/>
  <c r="F59" i="3"/>
  <c r="F74" i="3"/>
  <c r="C89" i="3"/>
  <c r="E89" i="3" s="1"/>
  <c r="F161" i="3"/>
  <c r="C273" i="3"/>
  <c r="F312" i="3"/>
  <c r="F361" i="3"/>
  <c r="E398" i="3"/>
  <c r="F412" i="3"/>
  <c r="F436" i="3"/>
  <c r="E139" i="3"/>
  <c r="D266" i="3"/>
  <c r="F266" i="3" s="1"/>
  <c r="F267" i="3"/>
  <c r="D6" i="3"/>
  <c r="F7" i="3"/>
  <c r="F70" i="3"/>
  <c r="F114" i="3"/>
  <c r="E157" i="3"/>
  <c r="F237" i="3"/>
  <c r="F387" i="3"/>
  <c r="E420" i="3"/>
  <c r="E430" i="3"/>
  <c r="E436" i="3"/>
  <c r="D191" i="3"/>
  <c r="E196" i="3"/>
  <c r="E396" i="3"/>
  <c r="F396" i="3"/>
  <c r="F113" i="3"/>
  <c r="E113" i="3"/>
  <c r="E250" i="3"/>
  <c r="F19" i="3"/>
  <c r="F94" i="3"/>
  <c r="F139" i="3"/>
  <c r="F196" i="3"/>
  <c r="D235" i="3"/>
  <c r="D289" i="3"/>
  <c r="F375" i="3"/>
  <c r="C356" i="3"/>
  <c r="F435" i="3"/>
  <c r="F93" i="3"/>
  <c r="F89" i="3" s="1"/>
  <c r="E109" i="3"/>
  <c r="E153" i="3"/>
  <c r="C242" i="3"/>
  <c r="C253" i="3"/>
  <c r="D160" i="3"/>
  <c r="C309" i="3"/>
  <c r="F108" i="3" l="1"/>
  <c r="F120" i="3"/>
  <c r="E166" i="3"/>
  <c r="F253" i="3"/>
  <c r="E273" i="3"/>
  <c r="E325" i="3"/>
  <c r="F383" i="3"/>
  <c r="F68" i="3"/>
  <c r="F325" i="3"/>
  <c r="E120" i="3"/>
  <c r="E77" i="3"/>
  <c r="C76" i="3"/>
  <c r="F76" i="3" s="1"/>
  <c r="F309" i="3"/>
  <c r="E289" i="3"/>
  <c r="F356" i="3"/>
  <c r="C234" i="3"/>
  <c r="F242" i="3"/>
  <c r="C272" i="3"/>
  <c r="E383" i="3"/>
  <c r="F273" i="3"/>
  <c r="E435" i="3"/>
  <c r="D189" i="3"/>
  <c r="E191" i="3"/>
  <c r="D272" i="3"/>
  <c r="F51" i="3"/>
  <c r="F50" i="3" s="1"/>
  <c r="C21" i="3"/>
  <c r="E51" i="3"/>
  <c r="E356" i="3"/>
  <c r="F160" i="3"/>
  <c r="D156" i="3"/>
  <c r="E160" i="3"/>
  <c r="F191" i="3"/>
  <c r="E235" i="3"/>
  <c r="D234" i="3"/>
  <c r="F235" i="3"/>
  <c r="E6" i="3"/>
  <c r="E242" i="3"/>
  <c r="F6" i="3"/>
  <c r="E309" i="3"/>
  <c r="F289" i="3"/>
  <c r="E253" i="3"/>
  <c r="F189" i="3" l="1"/>
  <c r="E108" i="3"/>
  <c r="F234" i="3"/>
  <c r="E76" i="3"/>
  <c r="E272" i="3"/>
  <c r="E156" i="3"/>
  <c r="F156" i="3"/>
  <c r="E234" i="3"/>
  <c r="E189" i="3"/>
  <c r="E50" i="3"/>
  <c r="F21" i="3"/>
  <c r="F272" i="3"/>
  <c r="F516" i="3" l="1"/>
  <c r="E21" i="3"/>
  <c r="E516" i="3"/>
  <c r="F40" i="2" l="1"/>
  <c r="E30" i="2"/>
  <c r="P488" i="1" l="1"/>
  <c r="U306" i="1" l="1"/>
  <c r="T306" i="1"/>
  <c r="R306" i="1"/>
  <c r="N306" i="1"/>
  <c r="L306" i="1"/>
  <c r="U290" i="1"/>
  <c r="T290" i="1"/>
  <c r="S290" i="1"/>
  <c r="S289" i="1" s="1"/>
  <c r="R290" i="1"/>
  <c r="Q290" i="1"/>
  <c r="Q289" i="1" s="1"/>
  <c r="N290" i="1"/>
  <c r="M290" i="1"/>
  <c r="L290" i="1"/>
  <c r="L289" i="1" s="1"/>
  <c r="K290" i="1"/>
  <c r="K289" i="1" s="1"/>
  <c r="J290" i="1"/>
  <c r="J289" i="1" s="1"/>
  <c r="U283" i="1"/>
  <c r="T283" i="1"/>
  <c r="R283" i="1"/>
  <c r="Q283" i="1"/>
  <c r="N283" i="1"/>
  <c r="M283" i="1"/>
  <c r="K283" i="1"/>
  <c r="J283" i="1"/>
  <c r="P253" i="1"/>
  <c r="I253" i="1"/>
  <c r="P247" i="1"/>
  <c r="I247" i="1"/>
  <c r="P237" i="1"/>
  <c r="S232" i="1"/>
  <c r="S227" i="1" s="1"/>
  <c r="I232" i="1"/>
  <c r="I228" i="1"/>
  <c r="S223" i="1"/>
  <c r="L223" i="1"/>
  <c r="S162" i="1"/>
  <c r="S156" i="1"/>
  <c r="R156" i="1"/>
  <c r="L156" i="1"/>
  <c r="S137" i="1"/>
  <c r="Q52" i="1"/>
  <c r="J72" i="1"/>
  <c r="L68" i="1"/>
  <c r="L61" i="1"/>
  <c r="S30" i="1"/>
  <c r="N30" i="1"/>
  <c r="M30" i="1"/>
  <c r="L30" i="1"/>
  <c r="I495" i="1"/>
  <c r="I494" i="1"/>
  <c r="I492" i="1"/>
  <c r="I491" i="1"/>
  <c r="I490" i="1"/>
  <c r="I487" i="1"/>
  <c r="I485" i="1"/>
  <c r="I484" i="1"/>
  <c r="I483" i="1"/>
  <c r="I482" i="1"/>
  <c r="I480" i="1"/>
  <c r="I477" i="1"/>
  <c r="I476" i="1"/>
  <c r="I475" i="1"/>
  <c r="I471" i="1"/>
  <c r="I470" i="1"/>
  <c r="I468" i="1"/>
  <c r="I467" i="1"/>
  <c r="I465" i="1"/>
  <c r="I464" i="1"/>
  <c r="I462" i="1"/>
  <c r="I461" i="1"/>
  <c r="I459" i="1"/>
  <c r="I458" i="1"/>
  <c r="I456" i="1"/>
  <c r="I453" i="1"/>
  <c r="I446" i="1"/>
  <c r="I445" i="1"/>
  <c r="I444" i="1"/>
  <c r="I439" i="1"/>
  <c r="I437" i="1"/>
  <c r="I436" i="1"/>
  <c r="I435" i="1"/>
  <c r="I434" i="1"/>
  <c r="I432" i="1"/>
  <c r="I428" i="1"/>
  <c r="I427" i="1"/>
  <c r="I425" i="1"/>
  <c r="I423" i="1"/>
  <c r="I418" i="1"/>
  <c r="I417" i="1"/>
  <c r="I415" i="1"/>
  <c r="I414" i="1"/>
  <c r="I413" i="1"/>
  <c r="I411" i="1"/>
  <c r="I408" i="1"/>
  <c r="I406" i="1"/>
  <c r="I405" i="1"/>
  <c r="I404" i="1"/>
  <c r="I401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88" i="1"/>
  <c r="I287" i="1"/>
  <c r="I286" i="1"/>
  <c r="I284" i="1"/>
  <c r="I282" i="1"/>
  <c r="I281" i="1"/>
  <c r="I280" i="1"/>
  <c r="I279" i="1"/>
  <c r="I278" i="1"/>
  <c r="I277" i="1"/>
  <c r="I275" i="1"/>
  <c r="I273" i="1"/>
  <c r="I272" i="1"/>
  <c r="I271" i="1"/>
  <c r="I270" i="1"/>
  <c r="I269" i="1"/>
  <c r="I268" i="1"/>
  <c r="I267" i="1"/>
  <c r="I266" i="1"/>
  <c r="I265" i="1"/>
  <c r="I263" i="1"/>
  <c r="I262" i="1"/>
  <c r="I260" i="1"/>
  <c r="I259" i="1"/>
  <c r="I258" i="1"/>
  <c r="I257" i="1"/>
  <c r="I256" i="1"/>
  <c r="I255" i="1"/>
  <c r="I254" i="1"/>
  <c r="I251" i="1"/>
  <c r="I250" i="1"/>
  <c r="I249" i="1"/>
  <c r="I248" i="1"/>
  <c r="I246" i="1"/>
  <c r="I245" i="1"/>
  <c r="I244" i="1"/>
  <c r="I237" i="1"/>
  <c r="I236" i="1"/>
  <c r="I235" i="1"/>
  <c r="I234" i="1"/>
  <c r="I233" i="1"/>
  <c r="I231" i="1"/>
  <c r="I230" i="1"/>
  <c r="I229" i="1"/>
  <c r="I226" i="1"/>
  <c r="I225" i="1"/>
  <c r="I224" i="1"/>
  <c r="I222" i="1"/>
  <c r="I220" i="1"/>
  <c r="I219" i="1"/>
  <c r="I217" i="1"/>
  <c r="I212" i="1"/>
  <c r="I209" i="1"/>
  <c r="I206" i="1"/>
  <c r="I204" i="1"/>
  <c r="I202" i="1"/>
  <c r="I199" i="1"/>
  <c r="I197" i="1"/>
  <c r="I195" i="1"/>
  <c r="I186" i="1"/>
  <c r="I185" i="1"/>
  <c r="I184" i="1"/>
  <c r="I182" i="1"/>
  <c r="I172" i="1"/>
  <c r="I171" i="1"/>
  <c r="I170" i="1"/>
  <c r="I169" i="1"/>
  <c r="I168" i="1"/>
  <c r="I167" i="1"/>
  <c r="I166" i="1"/>
  <c r="I165" i="1"/>
  <c r="I164" i="1"/>
  <c r="I163" i="1"/>
  <c r="I161" i="1"/>
  <c r="I159" i="1"/>
  <c r="I158" i="1"/>
  <c r="I155" i="1"/>
  <c r="I154" i="1"/>
  <c r="I153" i="1"/>
  <c r="I152" i="1"/>
  <c r="I150" i="1"/>
  <c r="I149" i="1"/>
  <c r="I148" i="1"/>
  <c r="I146" i="1"/>
  <c r="I145" i="1"/>
  <c r="I144" i="1"/>
  <c r="I142" i="1"/>
  <c r="I141" i="1"/>
  <c r="I140" i="1"/>
  <c r="I139" i="1"/>
  <c r="I138" i="1"/>
  <c r="I135" i="1"/>
  <c r="I132" i="1"/>
  <c r="I129" i="1"/>
  <c r="I128" i="1"/>
  <c r="I127" i="1"/>
  <c r="I126" i="1"/>
  <c r="I125" i="1"/>
  <c r="I124" i="1"/>
  <c r="I123" i="1"/>
  <c r="I120" i="1"/>
  <c r="I119" i="1"/>
  <c r="I118" i="1"/>
  <c r="I117" i="1"/>
  <c r="I115" i="1"/>
  <c r="I114" i="1"/>
  <c r="I113" i="1"/>
  <c r="I112" i="1"/>
  <c r="I110" i="1"/>
  <c r="I109" i="1"/>
  <c r="I108" i="1"/>
  <c r="I107" i="1"/>
  <c r="I105" i="1"/>
  <c r="I104" i="1"/>
  <c r="I103" i="1"/>
  <c r="I101" i="1"/>
  <c r="I100" i="1"/>
  <c r="I97" i="1"/>
  <c r="I96" i="1"/>
  <c r="I95" i="1"/>
  <c r="I94" i="1"/>
  <c r="I92" i="1"/>
  <c r="I91" i="1"/>
  <c r="I90" i="1"/>
  <c r="I88" i="1"/>
  <c r="I87" i="1"/>
  <c r="I86" i="1"/>
  <c r="I83" i="1"/>
  <c r="I82" i="1"/>
  <c r="I81" i="1"/>
  <c r="I79" i="1"/>
  <c r="I77" i="1"/>
  <c r="I76" i="1"/>
  <c r="I74" i="1"/>
  <c r="I73" i="1"/>
  <c r="I70" i="1"/>
  <c r="I69" i="1"/>
  <c r="I67" i="1"/>
  <c r="I66" i="1"/>
  <c r="I65" i="1"/>
  <c r="I63" i="1"/>
  <c r="I59" i="1"/>
  <c r="I58" i="1"/>
  <c r="I57" i="1"/>
  <c r="I56" i="1"/>
  <c r="I51" i="1"/>
  <c r="I50" i="1"/>
  <c r="I48" i="1"/>
  <c r="I46" i="1"/>
  <c r="I45" i="1"/>
  <c r="I41" i="1"/>
  <c r="I40" i="1"/>
  <c r="I39" i="1"/>
  <c r="I38" i="1"/>
  <c r="I37" i="1"/>
  <c r="I36" i="1"/>
  <c r="I35" i="1"/>
  <c r="I33" i="1"/>
  <c r="I32" i="1"/>
  <c r="I31" i="1"/>
  <c r="I29" i="1"/>
  <c r="I27" i="1"/>
  <c r="I25" i="1"/>
  <c r="I23" i="1"/>
  <c r="I22" i="1"/>
  <c r="I21" i="1"/>
  <c r="I19" i="1"/>
  <c r="I17" i="1"/>
  <c r="I16" i="1"/>
  <c r="I14" i="1"/>
  <c r="I12" i="1"/>
  <c r="I10" i="1"/>
  <c r="I8" i="1"/>
  <c r="I7" i="1"/>
  <c r="P286" i="1"/>
  <c r="P284" i="1"/>
  <c r="P282" i="1"/>
  <c r="P281" i="1"/>
  <c r="P280" i="1"/>
  <c r="P279" i="1"/>
  <c r="P278" i="1"/>
  <c r="P277" i="1"/>
  <c r="P275" i="1"/>
  <c r="P273" i="1"/>
  <c r="P272" i="1"/>
  <c r="P271" i="1"/>
  <c r="P270" i="1"/>
  <c r="P269" i="1"/>
  <c r="P268" i="1"/>
  <c r="P267" i="1"/>
  <c r="P266" i="1"/>
  <c r="P265" i="1"/>
  <c r="P263" i="1"/>
  <c r="P262" i="1"/>
  <c r="P260" i="1"/>
  <c r="P259" i="1"/>
  <c r="P258" i="1"/>
  <c r="P257" i="1"/>
  <c r="P256" i="1"/>
  <c r="P255" i="1"/>
  <c r="P254" i="1"/>
  <c r="P251" i="1"/>
  <c r="P250" i="1"/>
  <c r="P249" i="1"/>
  <c r="P248" i="1"/>
  <c r="P246" i="1"/>
  <c r="P245" i="1"/>
  <c r="P244" i="1"/>
  <c r="P238" i="1"/>
  <c r="P236" i="1"/>
  <c r="P235" i="1"/>
  <c r="P234" i="1"/>
  <c r="P233" i="1"/>
  <c r="P231" i="1"/>
  <c r="P230" i="1"/>
  <c r="P229" i="1"/>
  <c r="P228" i="1"/>
  <c r="P226" i="1"/>
  <c r="P225" i="1"/>
  <c r="P224" i="1"/>
  <c r="P222" i="1"/>
  <c r="P220" i="1"/>
  <c r="P219" i="1"/>
  <c r="P217" i="1"/>
  <c r="P212" i="1"/>
  <c r="P209" i="1"/>
  <c r="P206" i="1"/>
  <c r="P204" i="1"/>
  <c r="P202" i="1"/>
  <c r="P199" i="1"/>
  <c r="P197" i="1"/>
  <c r="P195" i="1"/>
  <c r="P186" i="1"/>
  <c r="P185" i="1"/>
  <c r="P184" i="1"/>
  <c r="P182" i="1"/>
  <c r="P172" i="1"/>
  <c r="P171" i="1"/>
  <c r="P170" i="1"/>
  <c r="P169" i="1"/>
  <c r="P168" i="1"/>
  <c r="P167" i="1"/>
  <c r="P166" i="1"/>
  <c r="P165" i="1"/>
  <c r="P164" i="1"/>
  <c r="P163" i="1"/>
  <c r="P161" i="1"/>
  <c r="P159" i="1"/>
  <c r="P158" i="1"/>
  <c r="P155" i="1"/>
  <c r="P154" i="1"/>
  <c r="P153" i="1"/>
  <c r="P152" i="1"/>
  <c r="P150" i="1"/>
  <c r="P149" i="1"/>
  <c r="P148" i="1"/>
  <c r="P146" i="1"/>
  <c r="P145" i="1"/>
  <c r="P144" i="1"/>
  <c r="P142" i="1"/>
  <c r="P141" i="1"/>
  <c r="P140" i="1"/>
  <c r="P139" i="1"/>
  <c r="P138" i="1"/>
  <c r="P135" i="1"/>
  <c r="P133" i="1"/>
  <c r="P132" i="1"/>
  <c r="P129" i="1"/>
  <c r="P128" i="1"/>
  <c r="P127" i="1"/>
  <c r="P126" i="1"/>
  <c r="P125" i="1"/>
  <c r="P124" i="1"/>
  <c r="P123" i="1"/>
  <c r="P120" i="1"/>
  <c r="P119" i="1"/>
  <c r="P118" i="1"/>
  <c r="P117" i="1"/>
  <c r="P115" i="1"/>
  <c r="P114" i="1"/>
  <c r="P113" i="1"/>
  <c r="P112" i="1"/>
  <c r="P110" i="1"/>
  <c r="P109" i="1"/>
  <c r="P108" i="1"/>
  <c r="P107" i="1"/>
  <c r="P105" i="1"/>
  <c r="P104" i="1"/>
  <c r="P103" i="1"/>
  <c r="P101" i="1"/>
  <c r="P100" i="1"/>
  <c r="P97" i="1"/>
  <c r="P96" i="1"/>
  <c r="P95" i="1"/>
  <c r="P94" i="1"/>
  <c r="P92" i="1"/>
  <c r="P91" i="1"/>
  <c r="P90" i="1"/>
  <c r="P88" i="1"/>
  <c r="P87" i="1"/>
  <c r="P86" i="1"/>
  <c r="P83" i="1"/>
  <c r="P82" i="1"/>
  <c r="P81" i="1"/>
  <c r="P79" i="1"/>
  <c r="P77" i="1"/>
  <c r="P76" i="1"/>
  <c r="P73" i="1"/>
  <c r="P70" i="1"/>
  <c r="P69" i="1"/>
  <c r="P67" i="1"/>
  <c r="P66" i="1"/>
  <c r="P65" i="1"/>
  <c r="P63" i="1"/>
  <c r="P58" i="1"/>
  <c r="P57" i="1"/>
  <c r="P56" i="1"/>
  <c r="P51" i="1"/>
  <c r="P50" i="1"/>
  <c r="P48" i="1"/>
  <c r="P46" i="1"/>
  <c r="P45" i="1"/>
  <c r="P42" i="1"/>
  <c r="P41" i="1"/>
  <c r="P40" i="1"/>
  <c r="P39" i="1"/>
  <c r="P37" i="1"/>
  <c r="P36" i="1"/>
  <c r="P35" i="1"/>
  <c r="P33" i="1"/>
  <c r="P32" i="1"/>
  <c r="P31" i="1"/>
  <c r="P29" i="1"/>
  <c r="P27" i="1"/>
  <c r="P25" i="1"/>
  <c r="P23" i="1"/>
  <c r="P22" i="1"/>
  <c r="P21" i="1"/>
  <c r="P19" i="1"/>
  <c r="P17" i="1"/>
  <c r="P16" i="1"/>
  <c r="P14" i="1"/>
  <c r="P12" i="1"/>
  <c r="P10" i="1"/>
  <c r="P8" i="1"/>
  <c r="P7" i="1"/>
  <c r="P495" i="1"/>
  <c r="P494" i="1"/>
  <c r="P492" i="1"/>
  <c r="P491" i="1"/>
  <c r="P490" i="1"/>
  <c r="P487" i="1"/>
  <c r="P485" i="1"/>
  <c r="P484" i="1"/>
  <c r="P483" i="1"/>
  <c r="P482" i="1"/>
  <c r="P480" i="1"/>
  <c r="P477" i="1"/>
  <c r="P476" i="1"/>
  <c r="P475" i="1"/>
  <c r="P471" i="1"/>
  <c r="P470" i="1"/>
  <c r="P468" i="1"/>
  <c r="P467" i="1"/>
  <c r="P465" i="1"/>
  <c r="P464" i="1"/>
  <c r="P462" i="1"/>
  <c r="P461" i="1"/>
  <c r="P459" i="1"/>
  <c r="P458" i="1"/>
  <c r="P455" i="1"/>
  <c r="P453" i="1"/>
  <c r="P446" i="1"/>
  <c r="P445" i="1"/>
  <c r="P439" i="1"/>
  <c r="P437" i="1"/>
  <c r="P436" i="1"/>
  <c r="P435" i="1"/>
  <c r="P434" i="1"/>
  <c r="P432" i="1"/>
  <c r="P428" i="1"/>
  <c r="P427" i="1"/>
  <c r="P425" i="1"/>
  <c r="P423" i="1"/>
  <c r="P418" i="1"/>
  <c r="P417" i="1"/>
  <c r="P415" i="1"/>
  <c r="P414" i="1"/>
  <c r="P413" i="1"/>
  <c r="P411" i="1"/>
  <c r="P408" i="1"/>
  <c r="P406" i="1"/>
  <c r="P405" i="1"/>
  <c r="P404" i="1"/>
  <c r="P401" i="1"/>
  <c r="P399" i="1"/>
  <c r="P398" i="1"/>
  <c r="P397" i="1"/>
  <c r="P396" i="1"/>
  <c r="P395" i="1"/>
  <c r="P394" i="1"/>
  <c r="P393" i="1"/>
  <c r="P392" i="1"/>
  <c r="P391" i="1"/>
  <c r="P390" i="1"/>
  <c r="P389" i="1"/>
  <c r="P388" i="1"/>
  <c r="P387" i="1"/>
  <c r="P386" i="1"/>
  <c r="P385" i="1"/>
  <c r="P384" i="1"/>
  <c r="P38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P369" i="1"/>
  <c r="P368" i="1"/>
  <c r="P367" i="1"/>
  <c r="P366" i="1"/>
  <c r="P365" i="1"/>
  <c r="P364" i="1"/>
  <c r="P363" i="1"/>
  <c r="P362" i="1"/>
  <c r="P361" i="1"/>
  <c r="P360" i="1"/>
  <c r="P359" i="1"/>
  <c r="P358" i="1"/>
  <c r="P357" i="1"/>
  <c r="P356" i="1"/>
  <c r="P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309" i="1"/>
  <c r="P308" i="1"/>
  <c r="P307" i="1"/>
  <c r="P305" i="1"/>
  <c r="P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88" i="1"/>
  <c r="P287" i="1"/>
  <c r="J160" i="1"/>
  <c r="L151" i="1"/>
  <c r="U289" i="1" l="1"/>
  <c r="N289" i="1"/>
  <c r="I289" i="1" s="1"/>
  <c r="P232" i="1"/>
  <c r="R289" i="1"/>
  <c r="P289" i="1" s="1"/>
  <c r="I223" i="1"/>
  <c r="P223" i="1"/>
  <c r="I162" i="1"/>
  <c r="P162" i="1"/>
  <c r="P290" i="1"/>
  <c r="P306" i="1"/>
  <c r="I306" i="1"/>
  <c r="I290" i="1"/>
  <c r="I243" i="1"/>
  <c r="E49" i="2"/>
  <c r="E65" i="2"/>
  <c r="E59" i="2"/>
  <c r="E425" i="2" l="1"/>
  <c r="E424" i="2"/>
  <c r="E423" i="2"/>
  <c r="E422" i="2"/>
  <c r="E421" i="2"/>
  <c r="F420" i="2" l="1"/>
  <c r="E136" i="2" l="1"/>
  <c r="E231" i="2" l="1"/>
  <c r="S151" i="1"/>
  <c r="P243" i="1" l="1"/>
  <c r="S208" i="1"/>
  <c r="L208" i="1"/>
  <c r="L201" i="1"/>
  <c r="E291" i="1" l="1"/>
  <c r="F291" i="1"/>
  <c r="G291" i="1"/>
  <c r="H291" i="1"/>
  <c r="C292" i="1"/>
  <c r="O292" i="1" s="1"/>
  <c r="C293" i="1"/>
  <c r="C294" i="1"/>
  <c r="C295" i="1"/>
  <c r="C296" i="1"/>
  <c r="E297" i="1"/>
  <c r="H297" i="1"/>
  <c r="C298" i="1"/>
  <c r="C299" i="1"/>
  <c r="C300" i="1"/>
  <c r="D301" i="1"/>
  <c r="E301" i="1"/>
  <c r="G301" i="1"/>
  <c r="C302" i="1"/>
  <c r="C303" i="1"/>
  <c r="C304" i="1"/>
  <c r="C305" i="1"/>
  <c r="E307" i="1"/>
  <c r="F307" i="1"/>
  <c r="G307" i="1"/>
  <c r="H307" i="1"/>
  <c r="C308" i="1"/>
  <c r="O308" i="1" s="1"/>
  <c r="C309" i="1"/>
  <c r="O309" i="1" s="1"/>
  <c r="C310" i="1"/>
  <c r="E311" i="1"/>
  <c r="F311" i="1"/>
  <c r="G311" i="1"/>
  <c r="H311" i="1"/>
  <c r="C312" i="1"/>
  <c r="O312" i="1" s="1"/>
  <c r="C313" i="1"/>
  <c r="O313" i="1" s="1"/>
  <c r="C314" i="1"/>
  <c r="C315" i="1"/>
  <c r="E317" i="1"/>
  <c r="H317" i="1"/>
  <c r="C318" i="1"/>
  <c r="O318" i="1" s="1"/>
  <c r="C319" i="1"/>
  <c r="O319" i="1" s="1"/>
  <c r="D320" i="1"/>
  <c r="E320" i="1"/>
  <c r="H320" i="1"/>
  <c r="C321" i="1"/>
  <c r="O321" i="1" s="1"/>
  <c r="C322" i="1"/>
  <c r="C324" i="1"/>
  <c r="C325" i="1"/>
  <c r="O325" i="1" s="1"/>
  <c r="E327" i="1"/>
  <c r="F327" i="1"/>
  <c r="G327" i="1"/>
  <c r="H327" i="1"/>
  <c r="C328" i="1"/>
  <c r="F329" i="1"/>
  <c r="G329" i="1"/>
  <c r="H329" i="1"/>
  <c r="C330" i="1"/>
  <c r="O330" i="1" s="1"/>
  <c r="D331" i="1"/>
  <c r="E331" i="1"/>
  <c r="F331" i="1"/>
  <c r="G331" i="1"/>
  <c r="H331" i="1"/>
  <c r="C332" i="1"/>
  <c r="D333" i="1"/>
  <c r="E333" i="1"/>
  <c r="F333" i="1"/>
  <c r="G333" i="1"/>
  <c r="H333" i="1"/>
  <c r="C334" i="1"/>
  <c r="O334" i="1" s="1"/>
  <c r="C336" i="1"/>
  <c r="C339" i="1"/>
  <c r="C341" i="1"/>
  <c r="D343" i="1"/>
  <c r="E343" i="1"/>
  <c r="C344" i="1"/>
  <c r="C346" i="1"/>
  <c r="C347" i="1"/>
  <c r="C349" i="1"/>
  <c r="E350" i="1"/>
  <c r="C351" i="1"/>
  <c r="E352" i="1"/>
  <c r="F352" i="1"/>
  <c r="C353" i="1"/>
  <c r="D355" i="1"/>
  <c r="D354" i="1" s="1"/>
  <c r="E355" i="1"/>
  <c r="E354" i="1" s="1"/>
  <c r="F354" i="1"/>
  <c r="G354" i="1"/>
  <c r="H355" i="1"/>
  <c r="H354" i="1" s="1"/>
  <c r="C356" i="1"/>
  <c r="C357" i="1"/>
  <c r="C358" i="1"/>
  <c r="D360" i="1"/>
  <c r="E360" i="1"/>
  <c r="E359" i="1" s="1"/>
  <c r="O360" i="1"/>
  <c r="C361" i="1"/>
  <c r="C362" i="1"/>
  <c r="E365" i="1"/>
  <c r="E364" i="1" s="1"/>
  <c r="C366" i="1"/>
  <c r="C368" i="1"/>
  <c r="O369" i="1"/>
  <c r="D370" i="1"/>
  <c r="D369" i="1" s="1"/>
  <c r="E370" i="1"/>
  <c r="E369" i="1" s="1"/>
  <c r="H369" i="1"/>
  <c r="C371" i="1"/>
  <c r="C372" i="1"/>
  <c r="O373" i="1"/>
  <c r="E374" i="1"/>
  <c r="C375" i="1"/>
  <c r="E376" i="1"/>
  <c r="C377" i="1"/>
  <c r="F378" i="1"/>
  <c r="C379" i="1"/>
  <c r="C380" i="1"/>
  <c r="C381" i="1"/>
  <c r="C382" i="1"/>
  <c r="C383" i="1"/>
  <c r="C384" i="1"/>
  <c r="O384" i="1" s="1"/>
  <c r="C385" i="1"/>
  <c r="C386" i="1"/>
  <c r="C387" i="1"/>
  <c r="C388" i="1"/>
  <c r="C389" i="1"/>
  <c r="F390" i="1"/>
  <c r="C391" i="1"/>
  <c r="F392" i="1"/>
  <c r="C393" i="1"/>
  <c r="F394" i="1"/>
  <c r="C395" i="1"/>
  <c r="C396" i="1"/>
  <c r="C398" i="1"/>
  <c r="C399" i="1"/>
  <c r="E166" i="2"/>
  <c r="E326" i="1" l="1"/>
  <c r="E306" i="1"/>
  <c r="H326" i="1"/>
  <c r="H306" i="1"/>
  <c r="H290" i="1"/>
  <c r="E290" i="1"/>
  <c r="F290" i="1"/>
  <c r="F306" i="1"/>
  <c r="C343" i="1"/>
  <c r="C348" i="1"/>
  <c r="C397" i="1"/>
  <c r="C338" i="1"/>
  <c r="C333" i="1"/>
  <c r="C394" i="1"/>
  <c r="C378" i="1"/>
  <c r="F373" i="1"/>
  <c r="C360" i="1"/>
  <c r="C352" i="1"/>
  <c r="G306" i="1"/>
  <c r="D342" i="1"/>
  <c r="G326" i="1"/>
  <c r="C390" i="1"/>
  <c r="C367" i="1"/>
  <c r="D359" i="1"/>
  <c r="C359" i="1" s="1"/>
  <c r="C320" i="1"/>
  <c r="O320" i="1" s="1"/>
  <c r="C297" i="1"/>
  <c r="C323" i="1"/>
  <c r="O311" i="1"/>
  <c r="C392" i="1"/>
  <c r="C365" i="1"/>
  <c r="C350" i="1"/>
  <c r="C376" i="1"/>
  <c r="G373" i="1"/>
  <c r="C374" i="1"/>
  <c r="C370" i="1"/>
  <c r="C355" i="1"/>
  <c r="C329" i="1"/>
  <c r="C327" i="1"/>
  <c r="O327" i="1" s="1"/>
  <c r="C311" i="1"/>
  <c r="G290" i="1"/>
  <c r="D326" i="1"/>
  <c r="C307" i="1"/>
  <c r="D306" i="1"/>
  <c r="E373" i="1"/>
  <c r="F342" i="1"/>
  <c r="F326" i="1"/>
  <c r="C301" i="1"/>
  <c r="C291" i="1"/>
  <c r="C354" i="1"/>
  <c r="C340" i="1"/>
  <c r="C335" i="1"/>
  <c r="H373" i="1"/>
  <c r="D373" i="1"/>
  <c r="C369" i="1"/>
  <c r="E342" i="1"/>
  <c r="C331" i="1"/>
  <c r="O331" i="1" s="1"/>
  <c r="O324" i="1"/>
  <c r="C317" i="1"/>
  <c r="O317" i="1" s="1"/>
  <c r="D290" i="1"/>
  <c r="O310" i="1"/>
  <c r="P264" i="1"/>
  <c r="I264" i="1"/>
  <c r="D6" i="1"/>
  <c r="E6" i="1"/>
  <c r="F6" i="1"/>
  <c r="G6" i="1"/>
  <c r="H6" i="1"/>
  <c r="C7" i="1"/>
  <c r="C8" i="1"/>
  <c r="D9" i="1"/>
  <c r="E9" i="1"/>
  <c r="F9" i="1"/>
  <c r="G9" i="1"/>
  <c r="H9" i="1"/>
  <c r="C10" i="1"/>
  <c r="D11" i="1"/>
  <c r="E11" i="1"/>
  <c r="F11" i="1"/>
  <c r="G11" i="1"/>
  <c r="H11" i="1"/>
  <c r="C12" i="1"/>
  <c r="D13" i="1"/>
  <c r="E13" i="1"/>
  <c r="F13" i="1"/>
  <c r="G13" i="1"/>
  <c r="H13" i="1"/>
  <c r="C14" i="1"/>
  <c r="D15" i="1"/>
  <c r="E15" i="1"/>
  <c r="F15" i="1"/>
  <c r="G15" i="1"/>
  <c r="H15" i="1"/>
  <c r="C16" i="1"/>
  <c r="C17" i="1"/>
  <c r="D18" i="1"/>
  <c r="E18" i="1"/>
  <c r="F18" i="1"/>
  <c r="G18" i="1"/>
  <c r="H18" i="1"/>
  <c r="C19" i="1"/>
  <c r="D20" i="1"/>
  <c r="E20" i="1"/>
  <c r="F20" i="1"/>
  <c r="G20" i="1"/>
  <c r="C21" i="1"/>
  <c r="C22" i="1"/>
  <c r="C23" i="1"/>
  <c r="D24" i="1"/>
  <c r="E24" i="1"/>
  <c r="F24" i="1"/>
  <c r="G24" i="1"/>
  <c r="H24" i="1"/>
  <c r="C25" i="1"/>
  <c r="D26" i="1"/>
  <c r="E26" i="1"/>
  <c r="F26" i="1"/>
  <c r="G26" i="1"/>
  <c r="H26" i="1"/>
  <c r="C27" i="1"/>
  <c r="D28" i="1"/>
  <c r="E28" i="1"/>
  <c r="F28" i="1"/>
  <c r="G28" i="1"/>
  <c r="H28" i="1"/>
  <c r="C29" i="1"/>
  <c r="H289" i="1" l="1"/>
  <c r="E5" i="1"/>
  <c r="F5" i="1"/>
  <c r="C364" i="1"/>
  <c r="C337" i="1"/>
  <c r="C342" i="1"/>
  <c r="C20" i="1"/>
  <c r="C13" i="1"/>
  <c r="C15" i="1"/>
  <c r="G289" i="1"/>
  <c r="G5" i="1"/>
  <c r="C26" i="1"/>
  <c r="C18" i="1"/>
  <c r="H5" i="1"/>
  <c r="C6" i="1"/>
  <c r="C9" i="1"/>
  <c r="C28" i="1"/>
  <c r="C24" i="1"/>
  <c r="E289" i="1"/>
  <c r="C11" i="1"/>
  <c r="C290" i="1"/>
  <c r="D289" i="1"/>
  <c r="C373" i="1"/>
  <c r="O291" i="1"/>
  <c r="C326" i="1"/>
  <c r="O326" i="1" s="1"/>
  <c r="O322" i="1"/>
  <c r="O323" i="1"/>
  <c r="C306" i="1"/>
  <c r="D5" i="1"/>
  <c r="C5" i="1" l="1"/>
  <c r="O290" i="1"/>
  <c r="O289" i="1" s="1"/>
  <c r="C289" i="1"/>
  <c r="S489" i="1" l="1"/>
  <c r="P489" i="1" l="1"/>
  <c r="I489" i="1"/>
  <c r="R227" i="1"/>
  <c r="K227" i="1"/>
  <c r="F390" i="2" l="1"/>
  <c r="U478" i="1"/>
  <c r="U472" i="1"/>
  <c r="U469" i="1"/>
  <c r="U466" i="1"/>
  <c r="U463" i="1"/>
  <c r="U460" i="1"/>
  <c r="U457" i="1"/>
  <c r="U451" i="1"/>
  <c r="U448" i="1"/>
  <c r="U447" i="1" s="1"/>
  <c r="U443" i="1"/>
  <c r="U441" i="1"/>
  <c r="U438" i="1"/>
  <c r="U433" i="1"/>
  <c r="U424" i="1"/>
  <c r="S478" i="1"/>
  <c r="Q478" i="1"/>
  <c r="P474" i="1"/>
  <c r="P456" i="1"/>
  <c r="P452" i="1"/>
  <c r="R451" i="1"/>
  <c r="Q451" i="1"/>
  <c r="P450" i="1"/>
  <c r="P449" i="1"/>
  <c r="R448" i="1"/>
  <c r="R447" i="1" s="1"/>
  <c r="Q448" i="1"/>
  <c r="P444" i="1"/>
  <c r="R443" i="1"/>
  <c r="Q443" i="1"/>
  <c r="P442" i="1"/>
  <c r="R441" i="1"/>
  <c r="Q441" i="1"/>
  <c r="Q438" i="1"/>
  <c r="Q433" i="1"/>
  <c r="Q430" i="1"/>
  <c r="P426" i="1"/>
  <c r="Q424" i="1"/>
  <c r="Q421" i="1"/>
  <c r="N481" i="1"/>
  <c r="N478" i="1"/>
  <c r="N451" i="1"/>
  <c r="N448" i="1"/>
  <c r="N447" i="1" s="1"/>
  <c r="N443" i="1"/>
  <c r="N441" i="1"/>
  <c r="N438" i="1"/>
  <c r="N433" i="1"/>
  <c r="N430" i="1"/>
  <c r="N424" i="1"/>
  <c r="J481" i="1"/>
  <c r="L479" i="1"/>
  <c r="L478" i="1" s="1"/>
  <c r="K479" i="1"/>
  <c r="J478" i="1"/>
  <c r="I455" i="1"/>
  <c r="I452" i="1"/>
  <c r="J451" i="1"/>
  <c r="I450" i="1"/>
  <c r="I449" i="1"/>
  <c r="J448" i="1"/>
  <c r="J447" i="1" s="1"/>
  <c r="J443" i="1"/>
  <c r="I442" i="1"/>
  <c r="J441" i="1"/>
  <c r="J438" i="1"/>
  <c r="J433" i="1"/>
  <c r="J430" i="1"/>
  <c r="I426" i="1"/>
  <c r="J424" i="1"/>
  <c r="J421" i="1"/>
  <c r="H478" i="1"/>
  <c r="H451" i="1"/>
  <c r="H448" i="1"/>
  <c r="H447" i="1" s="1"/>
  <c r="H443" i="1"/>
  <c r="H441" i="1"/>
  <c r="H438" i="1"/>
  <c r="H433" i="1"/>
  <c r="H430" i="1"/>
  <c r="H424" i="1"/>
  <c r="H422" i="1"/>
  <c r="H421" i="1" s="1"/>
  <c r="F478" i="1"/>
  <c r="F452" i="1"/>
  <c r="F451" i="1" s="1"/>
  <c r="F448" i="1"/>
  <c r="F447" i="1" s="1"/>
  <c r="F443" i="1"/>
  <c r="F441" i="1"/>
  <c r="F438" i="1"/>
  <c r="F433" i="1"/>
  <c r="F430" i="1"/>
  <c r="F424" i="1"/>
  <c r="F422" i="1"/>
  <c r="F421" i="1" s="1"/>
  <c r="D481" i="1"/>
  <c r="E478" i="1"/>
  <c r="D478" i="1"/>
  <c r="E451" i="1"/>
  <c r="D451" i="1"/>
  <c r="E448" i="1"/>
  <c r="E447" i="1" s="1"/>
  <c r="D448" i="1"/>
  <c r="D447" i="1" s="1"/>
  <c r="E443" i="1"/>
  <c r="D443" i="1"/>
  <c r="E441" i="1"/>
  <c r="D441" i="1"/>
  <c r="E438" i="1"/>
  <c r="D438" i="1"/>
  <c r="E433" i="1"/>
  <c r="D433" i="1"/>
  <c r="E430" i="1"/>
  <c r="D430" i="1"/>
  <c r="E424" i="1"/>
  <c r="D424" i="1"/>
  <c r="E422" i="1"/>
  <c r="E421" i="1" s="1"/>
  <c r="D421" i="1"/>
  <c r="C423" i="1"/>
  <c r="C425" i="1"/>
  <c r="C426" i="1"/>
  <c r="C427" i="1"/>
  <c r="C428" i="1"/>
  <c r="C432" i="1"/>
  <c r="C434" i="1"/>
  <c r="C435" i="1"/>
  <c r="C436" i="1"/>
  <c r="C437" i="1"/>
  <c r="C439" i="1"/>
  <c r="C449" i="1"/>
  <c r="C450" i="1"/>
  <c r="C453" i="1"/>
  <c r="C456" i="1"/>
  <c r="C458" i="1"/>
  <c r="C459" i="1"/>
  <c r="C461" i="1"/>
  <c r="C462" i="1"/>
  <c r="C464" i="1"/>
  <c r="C465" i="1"/>
  <c r="C467" i="1"/>
  <c r="C468" i="1"/>
  <c r="C470" i="1"/>
  <c r="C471" i="1"/>
  <c r="C475" i="1"/>
  <c r="C476" i="1"/>
  <c r="C477" i="1"/>
  <c r="C482" i="1"/>
  <c r="C443" i="1" l="1"/>
  <c r="E454" i="1"/>
  <c r="P422" i="1"/>
  <c r="P479" i="1"/>
  <c r="C478" i="1"/>
  <c r="I473" i="1"/>
  <c r="P460" i="1"/>
  <c r="P473" i="1"/>
  <c r="K478" i="1"/>
  <c r="I478" i="1" s="1"/>
  <c r="I479" i="1"/>
  <c r="I430" i="1"/>
  <c r="I431" i="1"/>
  <c r="I474" i="1"/>
  <c r="P466" i="1"/>
  <c r="I421" i="1"/>
  <c r="I422" i="1"/>
  <c r="P431" i="1"/>
  <c r="J420" i="1"/>
  <c r="I438" i="1"/>
  <c r="P438" i="1"/>
  <c r="I433" i="1"/>
  <c r="P433" i="1"/>
  <c r="Q447" i="1"/>
  <c r="I443" i="1"/>
  <c r="I463" i="1"/>
  <c r="I460" i="1"/>
  <c r="I469" i="1"/>
  <c r="P469" i="1"/>
  <c r="I466" i="1"/>
  <c r="P457" i="1"/>
  <c r="I457" i="1"/>
  <c r="P463" i="1"/>
  <c r="J429" i="1"/>
  <c r="P424" i="1"/>
  <c r="C433" i="1"/>
  <c r="D454" i="1"/>
  <c r="L429" i="1"/>
  <c r="I451" i="1"/>
  <c r="P421" i="1"/>
  <c r="E440" i="1"/>
  <c r="H420" i="1"/>
  <c r="D429" i="1"/>
  <c r="C438" i="1"/>
  <c r="I447" i="1"/>
  <c r="C452" i="1"/>
  <c r="E420" i="1"/>
  <c r="N454" i="1"/>
  <c r="S429" i="1"/>
  <c r="U454" i="1"/>
  <c r="D420" i="1"/>
  <c r="D440" i="1"/>
  <c r="F429" i="1"/>
  <c r="K440" i="1"/>
  <c r="N429" i="1"/>
  <c r="P441" i="1"/>
  <c r="P443" i="1"/>
  <c r="U429" i="1"/>
  <c r="Q429" i="1"/>
  <c r="Q420" i="1"/>
  <c r="C466" i="1"/>
  <c r="F420" i="1"/>
  <c r="H454" i="1"/>
  <c r="J454" i="1"/>
  <c r="H440" i="1"/>
  <c r="I441" i="1"/>
  <c r="K454" i="1"/>
  <c r="P451" i="1"/>
  <c r="R478" i="1"/>
  <c r="P478" i="1" s="1"/>
  <c r="E429" i="1"/>
  <c r="C460" i="1"/>
  <c r="F440" i="1"/>
  <c r="H429" i="1"/>
  <c r="S454" i="1"/>
  <c r="U440" i="1"/>
  <c r="C457" i="1"/>
  <c r="C463" i="1"/>
  <c r="C469" i="1"/>
  <c r="F454" i="1"/>
  <c r="J440" i="1"/>
  <c r="N440" i="1"/>
  <c r="R429" i="1"/>
  <c r="R440" i="1"/>
  <c r="R454" i="1"/>
  <c r="C451" i="1"/>
  <c r="C430" i="1"/>
  <c r="C472" i="1"/>
  <c r="C447" i="1"/>
  <c r="C424" i="1"/>
  <c r="C448" i="1"/>
  <c r="C441" i="1"/>
  <c r="C422" i="1"/>
  <c r="C421" i="1"/>
  <c r="C473" i="1"/>
  <c r="C431" i="1"/>
  <c r="I420" i="1" l="1"/>
  <c r="K429" i="1"/>
  <c r="I429" i="1" s="1"/>
  <c r="I448" i="1"/>
  <c r="P447" i="1"/>
  <c r="P472" i="1"/>
  <c r="P448" i="1"/>
  <c r="I424" i="1"/>
  <c r="Q440" i="1"/>
  <c r="J419" i="1"/>
  <c r="I472" i="1"/>
  <c r="P430" i="1"/>
  <c r="P429" i="1"/>
  <c r="I454" i="1"/>
  <c r="D419" i="1"/>
  <c r="P420" i="1"/>
  <c r="N419" i="1"/>
  <c r="S440" i="1"/>
  <c r="I440" i="1"/>
  <c r="C420" i="1"/>
  <c r="C429" i="1"/>
  <c r="C454" i="1"/>
  <c r="Q454" i="1"/>
  <c r="P454" i="1" s="1"/>
  <c r="C440" i="1"/>
  <c r="P440" i="1" l="1"/>
  <c r="E251" i="2" l="1"/>
  <c r="E250" i="2"/>
  <c r="E249" i="2"/>
  <c r="E248" i="2"/>
  <c r="C185" i="1" l="1"/>
  <c r="C184" i="1"/>
  <c r="C182" i="1"/>
  <c r="P173" i="1" l="1"/>
  <c r="I173" i="1" l="1"/>
  <c r="E261" i="2"/>
  <c r="E256" i="2"/>
  <c r="F253" i="2" l="1"/>
  <c r="E382" i="2" l="1"/>
  <c r="E381" i="2"/>
  <c r="E377" i="2"/>
  <c r="E389" i="2" l="1"/>
  <c r="E388" i="2"/>
  <c r="E387" i="2"/>
  <c r="E386" i="2"/>
  <c r="F374" i="2"/>
  <c r="E372" i="2"/>
  <c r="E371" i="2"/>
  <c r="E370" i="2"/>
  <c r="E369" i="2"/>
  <c r="E368" i="2"/>
  <c r="E367" i="2"/>
  <c r="E366" i="2"/>
  <c r="E365" i="2"/>
  <c r="E364" i="2"/>
  <c r="E363" i="2"/>
  <c r="E362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4" i="2"/>
  <c r="E343" i="2"/>
  <c r="E342" i="2"/>
  <c r="E341" i="2"/>
  <c r="E340" i="2"/>
  <c r="E338" i="2"/>
  <c r="E337" i="2"/>
  <c r="E336" i="2"/>
  <c r="E335" i="2"/>
  <c r="E334" i="2"/>
  <c r="E332" i="2"/>
  <c r="E331" i="2"/>
  <c r="E330" i="2"/>
  <c r="E328" i="2"/>
  <c r="E327" i="2"/>
  <c r="E326" i="2"/>
  <c r="E325" i="2"/>
  <c r="E323" i="2"/>
  <c r="E321" i="2"/>
  <c r="E318" i="2"/>
  <c r="E317" i="2"/>
  <c r="E316" i="2"/>
  <c r="E313" i="2"/>
  <c r="E310" i="2"/>
  <c r="E305" i="2"/>
  <c r="E300" i="2"/>
  <c r="E299" i="2"/>
  <c r="E297" i="2"/>
  <c r="E290" i="2"/>
  <c r="E289" i="2"/>
  <c r="E288" i="2"/>
  <c r="E284" i="2"/>
  <c r="E279" i="2"/>
  <c r="E277" i="2"/>
  <c r="E271" i="2"/>
  <c r="E268" i="2"/>
  <c r="E266" i="2"/>
  <c r="E265" i="2"/>
  <c r="E236" i="2"/>
  <c r="F228" i="2"/>
  <c r="E217" i="2"/>
  <c r="E215" i="2"/>
  <c r="E210" i="2"/>
  <c r="F207" i="2" s="1"/>
  <c r="E204" i="2"/>
  <c r="E200" i="2"/>
  <c r="E199" i="2"/>
  <c r="F192" i="2"/>
  <c r="E189" i="2"/>
  <c r="E188" i="2"/>
  <c r="E187" i="2"/>
  <c r="E181" i="2"/>
  <c r="E180" i="2"/>
  <c r="E179" i="2"/>
  <c r="E176" i="2"/>
  <c r="E173" i="2"/>
  <c r="E170" i="2"/>
  <c r="E169" i="2"/>
  <c r="E124" i="2"/>
  <c r="E120" i="2"/>
  <c r="E116" i="2"/>
  <c r="E115" i="2"/>
  <c r="E111" i="2"/>
  <c r="E109" i="2"/>
  <c r="E108" i="2"/>
  <c r="C103" i="2"/>
  <c r="C102" i="2"/>
  <c r="C101" i="2"/>
  <c r="E99" i="2"/>
  <c r="E94" i="2"/>
  <c r="E27" i="2"/>
  <c r="F212" i="2" l="1"/>
  <c r="F164" i="2"/>
  <c r="F285" i="2"/>
  <c r="F174" i="2"/>
  <c r="E103" i="2"/>
  <c r="F383" i="2"/>
  <c r="F183" i="2"/>
  <c r="S486" i="1" l="1"/>
  <c r="R486" i="1"/>
  <c r="Q486" i="1"/>
  <c r="O486" i="1"/>
  <c r="N486" i="1"/>
  <c r="M486" i="1"/>
  <c r="L486" i="1"/>
  <c r="K486" i="1"/>
  <c r="J486" i="1"/>
  <c r="H486" i="1"/>
  <c r="G486" i="1"/>
  <c r="C486" i="1"/>
  <c r="C485" i="1"/>
  <c r="C484" i="1"/>
  <c r="U481" i="1"/>
  <c r="U419" i="1" s="1"/>
  <c r="S481" i="1"/>
  <c r="R481" i="1"/>
  <c r="Q481" i="1"/>
  <c r="L481" i="1"/>
  <c r="L419" i="1" s="1"/>
  <c r="H481" i="1"/>
  <c r="H419" i="1" s="1"/>
  <c r="F481" i="1"/>
  <c r="F419" i="1" s="1"/>
  <c r="E481" i="1"/>
  <c r="C418" i="1"/>
  <c r="C417" i="1"/>
  <c r="U416" i="1"/>
  <c r="R416" i="1"/>
  <c r="Q416" i="1"/>
  <c r="O416" i="1"/>
  <c r="N416" i="1"/>
  <c r="M416" i="1"/>
  <c r="L416" i="1"/>
  <c r="K416" i="1"/>
  <c r="J416" i="1"/>
  <c r="H416" i="1"/>
  <c r="H409" i="1" s="1"/>
  <c r="H400" i="1" s="1"/>
  <c r="G416" i="1"/>
  <c r="G409" i="1" s="1"/>
  <c r="G400" i="1" s="1"/>
  <c r="F416" i="1"/>
  <c r="F409" i="1" s="1"/>
  <c r="E416" i="1"/>
  <c r="E409" i="1" s="1"/>
  <c r="E400" i="1" s="1"/>
  <c r="D416" i="1"/>
  <c r="D409" i="1" s="1"/>
  <c r="C415" i="1"/>
  <c r="U412" i="1"/>
  <c r="S409" i="1"/>
  <c r="R412" i="1"/>
  <c r="Q412" i="1"/>
  <c r="O412" i="1"/>
  <c r="N412" i="1"/>
  <c r="M412" i="1"/>
  <c r="L412" i="1"/>
  <c r="K412" i="1"/>
  <c r="J412" i="1"/>
  <c r="O410" i="1"/>
  <c r="O407" i="1"/>
  <c r="U403" i="1"/>
  <c r="S403" i="1"/>
  <c r="S402" i="1" s="1"/>
  <c r="R403" i="1"/>
  <c r="Q403" i="1"/>
  <c r="O403" i="1"/>
  <c r="N403" i="1"/>
  <c r="M403" i="1"/>
  <c r="L403" i="1"/>
  <c r="K403" i="1"/>
  <c r="J403" i="1"/>
  <c r="P285" i="1"/>
  <c r="L285" i="1"/>
  <c r="F285" i="1"/>
  <c r="F283" i="1" s="1"/>
  <c r="C285" i="1"/>
  <c r="C283" i="1" s="1"/>
  <c r="C282" i="1"/>
  <c r="C281" i="1"/>
  <c r="C280" i="1"/>
  <c r="C279" i="1"/>
  <c r="C277" i="1"/>
  <c r="C275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0" i="1"/>
  <c r="C259" i="1"/>
  <c r="C258" i="1"/>
  <c r="C257" i="1"/>
  <c r="C256" i="1"/>
  <c r="C255" i="1"/>
  <c r="C254" i="1"/>
  <c r="H253" i="1"/>
  <c r="H227" i="1" s="1"/>
  <c r="G253" i="1"/>
  <c r="C251" i="1"/>
  <c r="C250" i="1"/>
  <c r="C249" i="1"/>
  <c r="C248" i="1"/>
  <c r="C247" i="1"/>
  <c r="C246" i="1"/>
  <c r="C245" i="1"/>
  <c r="C244" i="1"/>
  <c r="C243" i="1"/>
  <c r="C238" i="1"/>
  <c r="C237" i="1"/>
  <c r="C236" i="1"/>
  <c r="C235" i="1"/>
  <c r="C234" i="1"/>
  <c r="C231" i="1"/>
  <c r="C230" i="1"/>
  <c r="C229" i="1"/>
  <c r="U227" i="1"/>
  <c r="P227" i="1" s="1"/>
  <c r="I227" i="1"/>
  <c r="O223" i="1"/>
  <c r="F223" i="1"/>
  <c r="C223" i="1"/>
  <c r="O222" i="1"/>
  <c r="S221" i="1"/>
  <c r="P221" i="1" s="1"/>
  <c r="L221" i="1"/>
  <c r="I221" i="1" s="1"/>
  <c r="O220" i="1"/>
  <c r="O219" i="1"/>
  <c r="U218" i="1"/>
  <c r="T218" i="1"/>
  <c r="S216" i="1"/>
  <c r="P216" i="1" s="1"/>
  <c r="R218" i="1"/>
  <c r="Q218" i="1"/>
  <c r="N218" i="1"/>
  <c r="M218" i="1"/>
  <c r="I216" i="1"/>
  <c r="J218" i="1"/>
  <c r="G218" i="1"/>
  <c r="E218" i="1"/>
  <c r="O217" i="1"/>
  <c r="U215" i="1"/>
  <c r="T215" i="1"/>
  <c r="R215" i="1"/>
  <c r="Q215" i="1"/>
  <c r="N215" i="1"/>
  <c r="M215" i="1"/>
  <c r="M214" i="1" s="1"/>
  <c r="M213" i="1" s="1"/>
  <c r="M211" i="1" s="1"/>
  <c r="M210" i="1" s="1"/>
  <c r="M208" i="1" s="1"/>
  <c r="K215" i="1"/>
  <c r="J215" i="1"/>
  <c r="H215" i="1"/>
  <c r="G215" i="1"/>
  <c r="E215" i="1"/>
  <c r="S214" i="1"/>
  <c r="P214" i="1" s="1"/>
  <c r="N214" i="1"/>
  <c r="L214" i="1"/>
  <c r="F214" i="1"/>
  <c r="F207" i="1" s="1"/>
  <c r="D214" i="1"/>
  <c r="D213" i="1" s="1"/>
  <c r="U213" i="1"/>
  <c r="U211" i="1" s="1"/>
  <c r="U210" i="1" s="1"/>
  <c r="U208" i="1" s="1"/>
  <c r="T213" i="1"/>
  <c r="T211" i="1" s="1"/>
  <c r="T210" i="1" s="1"/>
  <c r="T208" i="1" s="1"/>
  <c r="R213" i="1"/>
  <c r="R211" i="1" s="1"/>
  <c r="R210" i="1" s="1"/>
  <c r="R208" i="1" s="1"/>
  <c r="Q213" i="1"/>
  <c r="K213" i="1"/>
  <c r="K211" i="1" s="1"/>
  <c r="K210" i="1" s="1"/>
  <c r="K208" i="1" s="1"/>
  <c r="K207" i="1" s="1"/>
  <c r="J213" i="1"/>
  <c r="H213" i="1"/>
  <c r="H211" i="1" s="1"/>
  <c r="H210" i="1" s="1"/>
  <c r="H208" i="1" s="1"/>
  <c r="H207" i="1" s="1"/>
  <c r="G210" i="1"/>
  <c r="G208" i="1" s="1"/>
  <c r="N211" i="1"/>
  <c r="N208" i="1"/>
  <c r="C206" i="1"/>
  <c r="U205" i="1"/>
  <c r="T205" i="1"/>
  <c r="S205" i="1"/>
  <c r="R205" i="1"/>
  <c r="Q205" i="1"/>
  <c r="N205" i="1"/>
  <c r="M205" i="1"/>
  <c r="L205" i="1"/>
  <c r="K205" i="1"/>
  <c r="J205" i="1"/>
  <c r="H205" i="1"/>
  <c r="G205" i="1"/>
  <c r="F205" i="1"/>
  <c r="E205" i="1"/>
  <c r="D205" i="1"/>
  <c r="C204" i="1"/>
  <c r="U203" i="1"/>
  <c r="T203" i="1"/>
  <c r="S203" i="1"/>
  <c r="R203" i="1"/>
  <c r="Q203" i="1"/>
  <c r="N203" i="1"/>
  <c r="M203" i="1"/>
  <c r="L203" i="1"/>
  <c r="K203" i="1"/>
  <c r="J203" i="1"/>
  <c r="H203" i="1"/>
  <c r="G203" i="1"/>
  <c r="F203" i="1"/>
  <c r="E203" i="1"/>
  <c r="D203" i="1"/>
  <c r="C202" i="1"/>
  <c r="U201" i="1"/>
  <c r="T201" i="1"/>
  <c r="S201" i="1"/>
  <c r="R201" i="1"/>
  <c r="Q201" i="1"/>
  <c r="N201" i="1"/>
  <c r="M201" i="1"/>
  <c r="K201" i="1"/>
  <c r="J201" i="1"/>
  <c r="H201" i="1"/>
  <c r="G201" i="1"/>
  <c r="F201" i="1"/>
  <c r="E201" i="1"/>
  <c r="D201" i="1"/>
  <c r="C199" i="1"/>
  <c r="U198" i="1"/>
  <c r="T198" i="1"/>
  <c r="S198" i="1"/>
  <c r="R198" i="1"/>
  <c r="Q198" i="1"/>
  <c r="N198" i="1"/>
  <c r="M198" i="1"/>
  <c r="L198" i="1"/>
  <c r="K198" i="1"/>
  <c r="J198" i="1"/>
  <c r="H198" i="1"/>
  <c r="G198" i="1"/>
  <c r="F198" i="1"/>
  <c r="E198" i="1"/>
  <c r="D198" i="1"/>
  <c r="C197" i="1"/>
  <c r="U196" i="1"/>
  <c r="T196" i="1"/>
  <c r="S196" i="1"/>
  <c r="R196" i="1"/>
  <c r="Q196" i="1"/>
  <c r="N196" i="1"/>
  <c r="M196" i="1"/>
  <c r="J196" i="1"/>
  <c r="H196" i="1"/>
  <c r="F196" i="1"/>
  <c r="E196" i="1"/>
  <c r="D196" i="1"/>
  <c r="C195" i="1"/>
  <c r="U194" i="1"/>
  <c r="T194" i="1"/>
  <c r="S194" i="1"/>
  <c r="R194" i="1"/>
  <c r="Q194" i="1"/>
  <c r="N194" i="1"/>
  <c r="M194" i="1"/>
  <c r="L194" i="1"/>
  <c r="K194" i="1"/>
  <c r="J194" i="1"/>
  <c r="H194" i="1"/>
  <c r="G194" i="1"/>
  <c r="F194" i="1"/>
  <c r="E194" i="1"/>
  <c r="D194" i="1"/>
  <c r="C162" i="1"/>
  <c r="C161" i="1"/>
  <c r="U160" i="1"/>
  <c r="T160" i="1"/>
  <c r="Q160" i="1"/>
  <c r="N160" i="1"/>
  <c r="M160" i="1"/>
  <c r="K160" i="1"/>
  <c r="H160" i="1"/>
  <c r="G160" i="1"/>
  <c r="E160" i="1"/>
  <c r="D160" i="1"/>
  <c r="C159" i="1"/>
  <c r="C158" i="1"/>
  <c r="U157" i="1"/>
  <c r="T157" i="1"/>
  <c r="Q157" i="1"/>
  <c r="N157" i="1"/>
  <c r="M157" i="1"/>
  <c r="K157" i="1"/>
  <c r="J157" i="1"/>
  <c r="H157" i="1"/>
  <c r="G157" i="1"/>
  <c r="E157" i="1"/>
  <c r="D157" i="1"/>
  <c r="F156" i="1"/>
  <c r="C155" i="1"/>
  <c r="C154" i="1"/>
  <c r="C153" i="1"/>
  <c r="U151" i="1"/>
  <c r="T151" i="1"/>
  <c r="R151" i="1"/>
  <c r="Q151" i="1"/>
  <c r="N151" i="1"/>
  <c r="M151" i="1"/>
  <c r="K151" i="1"/>
  <c r="J151" i="1"/>
  <c r="G151" i="1"/>
  <c r="E151" i="1"/>
  <c r="D151" i="1"/>
  <c r="C150" i="1"/>
  <c r="C149" i="1"/>
  <c r="C148" i="1"/>
  <c r="U147" i="1"/>
  <c r="T147" i="1"/>
  <c r="S147" i="1"/>
  <c r="R147" i="1"/>
  <c r="Q147" i="1"/>
  <c r="O147" i="1"/>
  <c r="N147" i="1"/>
  <c r="M147" i="1"/>
  <c r="K147" i="1"/>
  <c r="J147" i="1"/>
  <c r="G147" i="1"/>
  <c r="E147" i="1"/>
  <c r="D147" i="1"/>
  <c r="C146" i="1"/>
  <c r="C145" i="1"/>
  <c r="C144" i="1"/>
  <c r="U143" i="1"/>
  <c r="T143" i="1"/>
  <c r="S143" i="1"/>
  <c r="R143" i="1"/>
  <c r="Q143" i="1"/>
  <c r="N143" i="1"/>
  <c r="M143" i="1"/>
  <c r="L143" i="1"/>
  <c r="K143" i="1"/>
  <c r="J143" i="1"/>
  <c r="G143" i="1"/>
  <c r="E143" i="1"/>
  <c r="D143" i="1"/>
  <c r="C142" i="1"/>
  <c r="C141" i="1"/>
  <c r="C140" i="1"/>
  <c r="C139" i="1"/>
  <c r="C138" i="1"/>
  <c r="U137" i="1"/>
  <c r="T137" i="1"/>
  <c r="R137" i="1"/>
  <c r="Q137" i="1"/>
  <c r="N137" i="1"/>
  <c r="M137" i="1"/>
  <c r="L137" i="1"/>
  <c r="K137" i="1"/>
  <c r="J137" i="1"/>
  <c r="G137" i="1"/>
  <c r="E137" i="1"/>
  <c r="D137" i="1"/>
  <c r="C135" i="1"/>
  <c r="T134" i="1"/>
  <c r="S134" i="1"/>
  <c r="R134" i="1"/>
  <c r="M134" i="1"/>
  <c r="L134" i="1"/>
  <c r="K134" i="1"/>
  <c r="F134" i="1"/>
  <c r="O133" i="1"/>
  <c r="N133" i="1"/>
  <c r="J133" i="1"/>
  <c r="C132" i="1"/>
  <c r="T131" i="1"/>
  <c r="T130" i="1" s="1"/>
  <c r="P130" i="1" s="1"/>
  <c r="S131" i="1"/>
  <c r="R131" i="1"/>
  <c r="M131" i="1"/>
  <c r="L131" i="1"/>
  <c r="N130" i="1"/>
  <c r="N122" i="1" s="1"/>
  <c r="N121" i="1" s="1"/>
  <c r="K130" i="1"/>
  <c r="K122" i="1" s="1"/>
  <c r="J130" i="1"/>
  <c r="H130" i="1"/>
  <c r="H122" i="1" s="1"/>
  <c r="G130" i="1"/>
  <c r="G122" i="1" s="1"/>
  <c r="G121" i="1" s="1"/>
  <c r="E122" i="1"/>
  <c r="D122" i="1"/>
  <c r="C129" i="1"/>
  <c r="C128" i="1"/>
  <c r="C127" i="1"/>
  <c r="C126" i="1"/>
  <c r="C125" i="1"/>
  <c r="C124" i="1"/>
  <c r="C123" i="1"/>
  <c r="U122" i="1"/>
  <c r="U121" i="1" s="1"/>
  <c r="S122" i="1"/>
  <c r="R122" i="1"/>
  <c r="Q122" i="1"/>
  <c r="M122" i="1"/>
  <c r="L122" i="1"/>
  <c r="C120" i="1"/>
  <c r="C119" i="1"/>
  <c r="C118" i="1"/>
  <c r="C117" i="1"/>
  <c r="U116" i="1"/>
  <c r="T116" i="1"/>
  <c r="S116" i="1"/>
  <c r="R116" i="1"/>
  <c r="Q116" i="1"/>
  <c r="N116" i="1"/>
  <c r="M116" i="1"/>
  <c r="K116" i="1"/>
  <c r="J116" i="1"/>
  <c r="H116" i="1"/>
  <c r="G116" i="1"/>
  <c r="F116" i="1"/>
  <c r="E116" i="1"/>
  <c r="D116" i="1"/>
  <c r="C115" i="1"/>
  <c r="C114" i="1"/>
  <c r="C113" i="1"/>
  <c r="C112" i="1"/>
  <c r="U111" i="1"/>
  <c r="T111" i="1"/>
  <c r="S111" i="1"/>
  <c r="R111" i="1"/>
  <c r="Q111" i="1"/>
  <c r="N111" i="1"/>
  <c r="M111" i="1"/>
  <c r="L111" i="1"/>
  <c r="K111" i="1"/>
  <c r="J111" i="1"/>
  <c r="F111" i="1"/>
  <c r="C110" i="1"/>
  <c r="C109" i="1"/>
  <c r="C108" i="1"/>
  <c r="C107" i="1"/>
  <c r="U106" i="1"/>
  <c r="T106" i="1"/>
  <c r="S106" i="1"/>
  <c r="R106" i="1"/>
  <c r="Q106" i="1"/>
  <c r="N106" i="1"/>
  <c r="M106" i="1"/>
  <c r="L106" i="1"/>
  <c r="K106" i="1"/>
  <c r="J106" i="1"/>
  <c r="H106" i="1"/>
  <c r="G106" i="1"/>
  <c r="F106" i="1"/>
  <c r="E106" i="1"/>
  <c r="D106" i="1"/>
  <c r="C105" i="1"/>
  <c r="C104" i="1"/>
  <c r="C103" i="1"/>
  <c r="U102" i="1"/>
  <c r="T102" i="1"/>
  <c r="S102" i="1"/>
  <c r="R102" i="1"/>
  <c r="Q102" i="1"/>
  <c r="N102" i="1"/>
  <c r="M102" i="1"/>
  <c r="L102" i="1"/>
  <c r="K102" i="1"/>
  <c r="J102" i="1"/>
  <c r="F102" i="1"/>
  <c r="C101" i="1"/>
  <c r="C100" i="1"/>
  <c r="U99" i="1"/>
  <c r="T99" i="1"/>
  <c r="S99" i="1"/>
  <c r="R99" i="1"/>
  <c r="Q99" i="1"/>
  <c r="N99" i="1"/>
  <c r="M99" i="1"/>
  <c r="L99" i="1"/>
  <c r="K99" i="1"/>
  <c r="J99" i="1"/>
  <c r="H99" i="1"/>
  <c r="G99" i="1"/>
  <c r="F99" i="1"/>
  <c r="E99" i="1"/>
  <c r="D99" i="1"/>
  <c r="C97" i="1"/>
  <c r="C96" i="1"/>
  <c r="C95" i="1"/>
  <c r="C94" i="1"/>
  <c r="C92" i="1"/>
  <c r="C91" i="1"/>
  <c r="C90" i="1"/>
  <c r="U89" i="1"/>
  <c r="T89" i="1"/>
  <c r="R89" i="1"/>
  <c r="Q89" i="1"/>
  <c r="O89" i="1"/>
  <c r="N89" i="1"/>
  <c r="M89" i="1"/>
  <c r="K89" i="1"/>
  <c r="J89" i="1"/>
  <c r="H89" i="1"/>
  <c r="G89" i="1"/>
  <c r="E89" i="1"/>
  <c r="D89" i="1"/>
  <c r="C88" i="1"/>
  <c r="C87" i="1"/>
  <c r="C86" i="1"/>
  <c r="U85" i="1"/>
  <c r="U84" i="1" s="1"/>
  <c r="T85" i="1"/>
  <c r="T84" i="1" s="1"/>
  <c r="S85" i="1"/>
  <c r="N85" i="1"/>
  <c r="N84" i="1" s="1"/>
  <c r="M85" i="1"/>
  <c r="M84" i="1" s="1"/>
  <c r="L85" i="1"/>
  <c r="L84" i="1" s="1"/>
  <c r="K85" i="1"/>
  <c r="J85" i="1"/>
  <c r="H85" i="1"/>
  <c r="H84" i="1" s="1"/>
  <c r="G85" i="1"/>
  <c r="G84" i="1" s="1"/>
  <c r="F85" i="1"/>
  <c r="C83" i="1"/>
  <c r="C82" i="1"/>
  <c r="C81" i="1"/>
  <c r="U80" i="1"/>
  <c r="T80" i="1"/>
  <c r="S80" i="1"/>
  <c r="N80" i="1"/>
  <c r="M80" i="1"/>
  <c r="L80" i="1"/>
  <c r="K80" i="1"/>
  <c r="J80" i="1"/>
  <c r="H80" i="1"/>
  <c r="G80" i="1"/>
  <c r="F80" i="1"/>
  <c r="C79" i="1"/>
  <c r="U78" i="1"/>
  <c r="U75" i="1" s="1"/>
  <c r="T78" i="1"/>
  <c r="T75" i="1" s="1"/>
  <c r="S78" i="1"/>
  <c r="N78" i="1"/>
  <c r="N75" i="1" s="1"/>
  <c r="M78" i="1"/>
  <c r="M75" i="1" s="1"/>
  <c r="L78" i="1"/>
  <c r="L75" i="1" s="1"/>
  <c r="K78" i="1"/>
  <c r="K75" i="1" s="1"/>
  <c r="J78" i="1"/>
  <c r="H78" i="1"/>
  <c r="H75" i="1" s="1"/>
  <c r="G78" i="1"/>
  <c r="G75" i="1" s="1"/>
  <c r="F78" i="1"/>
  <c r="F75" i="1" s="1"/>
  <c r="C77" i="1"/>
  <c r="C76" i="1"/>
  <c r="C74" i="1"/>
  <c r="C73" i="1"/>
  <c r="U72" i="1"/>
  <c r="T72" i="1"/>
  <c r="S72" i="1"/>
  <c r="N72" i="1"/>
  <c r="M72" i="1"/>
  <c r="K72" i="1"/>
  <c r="H72" i="1"/>
  <c r="G72" i="1"/>
  <c r="F72" i="1"/>
  <c r="R52" i="1"/>
  <c r="C70" i="1"/>
  <c r="C69" i="1"/>
  <c r="U68" i="1"/>
  <c r="T68" i="1"/>
  <c r="S68" i="1"/>
  <c r="N68" i="1"/>
  <c r="M68" i="1"/>
  <c r="K68" i="1"/>
  <c r="J68" i="1"/>
  <c r="H68" i="1"/>
  <c r="G68" i="1"/>
  <c r="F68" i="1"/>
  <c r="C67" i="1"/>
  <c r="C66" i="1"/>
  <c r="C65" i="1"/>
  <c r="U64" i="1"/>
  <c r="T64" i="1"/>
  <c r="S64" i="1"/>
  <c r="N64" i="1"/>
  <c r="M64" i="1"/>
  <c r="L64" i="1"/>
  <c r="K64" i="1"/>
  <c r="J64" i="1"/>
  <c r="H64" i="1"/>
  <c r="G64" i="1"/>
  <c r="F64" i="1"/>
  <c r="C63" i="1"/>
  <c r="P62" i="1"/>
  <c r="I62" i="1"/>
  <c r="C62" i="1"/>
  <c r="T61" i="1"/>
  <c r="S61" i="1"/>
  <c r="M61" i="1"/>
  <c r="K61" i="1"/>
  <c r="J61" i="1"/>
  <c r="H61" i="1"/>
  <c r="G61" i="1"/>
  <c r="F61" i="1"/>
  <c r="U59" i="1"/>
  <c r="P59" i="1" s="1"/>
  <c r="C59" i="1"/>
  <c r="C58" i="1"/>
  <c r="C57" i="1"/>
  <c r="C56" i="1"/>
  <c r="U55" i="1"/>
  <c r="T55" i="1"/>
  <c r="T53" i="1" s="1"/>
  <c r="S55" i="1"/>
  <c r="N55" i="1"/>
  <c r="N53" i="1" s="1"/>
  <c r="M55" i="1"/>
  <c r="M53" i="1" s="1"/>
  <c r="L55" i="1"/>
  <c r="K55" i="1"/>
  <c r="K53" i="1" s="1"/>
  <c r="J55" i="1"/>
  <c r="H55" i="1"/>
  <c r="H53" i="1" s="1"/>
  <c r="G55" i="1"/>
  <c r="G53" i="1" s="1"/>
  <c r="F55" i="1"/>
  <c r="F53" i="1" s="1"/>
  <c r="P54" i="1"/>
  <c r="I54" i="1"/>
  <c r="C54" i="1"/>
  <c r="C51" i="1"/>
  <c r="C50" i="1"/>
  <c r="H49" i="1"/>
  <c r="C49" i="1" s="1"/>
  <c r="C48" i="1"/>
  <c r="P47" i="1"/>
  <c r="N47" i="1"/>
  <c r="H47" i="1"/>
  <c r="C47" i="1" s="1"/>
  <c r="C46" i="1"/>
  <c r="C45" i="1"/>
  <c r="O44" i="1"/>
  <c r="F44" i="1"/>
  <c r="C42" i="1"/>
  <c r="C41" i="1"/>
  <c r="C40" i="1"/>
  <c r="C39" i="1"/>
  <c r="R38" i="1"/>
  <c r="Q38" i="1"/>
  <c r="O38" i="1"/>
  <c r="H38" i="1"/>
  <c r="G38" i="1"/>
  <c r="C37" i="1"/>
  <c r="C36" i="1"/>
  <c r="H35" i="1"/>
  <c r="F35" i="1"/>
  <c r="O33" i="1"/>
  <c r="C32" i="1"/>
  <c r="O31" i="1"/>
  <c r="C31" i="1"/>
  <c r="T30" i="1"/>
  <c r="R30" i="1"/>
  <c r="Q30" i="1"/>
  <c r="K30" i="1"/>
  <c r="J30" i="1"/>
  <c r="H30" i="1"/>
  <c r="G30" i="1"/>
  <c r="D30" i="1"/>
  <c r="U28" i="1"/>
  <c r="T28" i="1"/>
  <c r="S28" i="1"/>
  <c r="R28" i="1"/>
  <c r="Q28" i="1"/>
  <c r="N28" i="1"/>
  <c r="M28" i="1"/>
  <c r="L28" i="1"/>
  <c r="K28" i="1"/>
  <c r="J28" i="1"/>
  <c r="U26" i="1"/>
  <c r="T26" i="1"/>
  <c r="S26" i="1"/>
  <c r="R26" i="1"/>
  <c r="Q26" i="1"/>
  <c r="N26" i="1"/>
  <c r="M26" i="1"/>
  <c r="L26" i="1"/>
  <c r="K26" i="1"/>
  <c r="J26" i="1"/>
  <c r="U24" i="1"/>
  <c r="T24" i="1"/>
  <c r="S24" i="1"/>
  <c r="R24" i="1"/>
  <c r="Q24" i="1"/>
  <c r="N24" i="1"/>
  <c r="M24" i="1"/>
  <c r="L24" i="1"/>
  <c r="K24" i="1"/>
  <c r="J24" i="1"/>
  <c r="U20" i="1"/>
  <c r="T20" i="1"/>
  <c r="S20" i="1"/>
  <c r="R20" i="1"/>
  <c r="Q20" i="1"/>
  <c r="N20" i="1"/>
  <c r="M20" i="1"/>
  <c r="L20" i="1"/>
  <c r="K20" i="1"/>
  <c r="J20" i="1"/>
  <c r="U18" i="1"/>
  <c r="T18" i="1"/>
  <c r="S18" i="1"/>
  <c r="R18" i="1"/>
  <c r="Q18" i="1"/>
  <c r="N18" i="1"/>
  <c r="M18" i="1"/>
  <c r="L18" i="1"/>
  <c r="K18" i="1"/>
  <c r="J18" i="1"/>
  <c r="U15" i="1"/>
  <c r="T15" i="1"/>
  <c r="S15" i="1"/>
  <c r="R15" i="1"/>
  <c r="Q15" i="1"/>
  <c r="N15" i="1"/>
  <c r="M15" i="1"/>
  <c r="L15" i="1"/>
  <c r="K15" i="1"/>
  <c r="J15" i="1"/>
  <c r="U13" i="1"/>
  <c r="T13" i="1"/>
  <c r="S13" i="1"/>
  <c r="R13" i="1"/>
  <c r="Q13" i="1"/>
  <c r="N13" i="1"/>
  <c r="M13" i="1"/>
  <c r="L13" i="1"/>
  <c r="K13" i="1"/>
  <c r="J13" i="1"/>
  <c r="U11" i="1"/>
  <c r="T11" i="1"/>
  <c r="S11" i="1"/>
  <c r="R11" i="1"/>
  <c r="Q11" i="1"/>
  <c r="N11" i="1"/>
  <c r="M11" i="1"/>
  <c r="L11" i="1"/>
  <c r="K11" i="1"/>
  <c r="J11" i="1"/>
  <c r="U9" i="1"/>
  <c r="T9" i="1"/>
  <c r="S9" i="1"/>
  <c r="R9" i="1"/>
  <c r="Q9" i="1"/>
  <c r="N9" i="1"/>
  <c r="M9" i="1"/>
  <c r="L9" i="1"/>
  <c r="K9" i="1"/>
  <c r="J9" i="1"/>
  <c r="U6" i="1"/>
  <c r="T6" i="1"/>
  <c r="S6" i="1"/>
  <c r="R6" i="1"/>
  <c r="Q6" i="1"/>
  <c r="N6" i="1"/>
  <c r="M6" i="1"/>
  <c r="L6" i="1"/>
  <c r="K6" i="1"/>
  <c r="J6" i="1"/>
  <c r="L193" i="1" l="1"/>
  <c r="C89" i="1"/>
  <c r="C131" i="1"/>
  <c r="F121" i="1"/>
  <c r="L5" i="1"/>
  <c r="S193" i="1"/>
  <c r="I47" i="1"/>
  <c r="N34" i="1"/>
  <c r="C218" i="1"/>
  <c r="D211" i="1"/>
  <c r="D210" i="1" s="1"/>
  <c r="D208" i="1" s="1"/>
  <c r="F193" i="1"/>
  <c r="E214" i="1"/>
  <c r="E213" i="1" s="1"/>
  <c r="C213" i="1" s="1"/>
  <c r="C215" i="1"/>
  <c r="C232" i="1"/>
  <c r="N409" i="1"/>
  <c r="Q409" i="1"/>
  <c r="L121" i="1"/>
  <c r="T207" i="1"/>
  <c r="M409" i="1"/>
  <c r="K409" i="1"/>
  <c r="F34" i="1"/>
  <c r="U53" i="1"/>
  <c r="K5" i="1"/>
  <c r="H34" i="1"/>
  <c r="D400" i="1"/>
  <c r="C30" i="1"/>
  <c r="R5" i="1"/>
  <c r="I9" i="1"/>
  <c r="I13" i="1"/>
  <c r="I18" i="1"/>
  <c r="I24" i="1"/>
  <c r="I28" i="1"/>
  <c r="P55" i="1"/>
  <c r="P64" i="1"/>
  <c r="L98" i="1"/>
  <c r="I131" i="1"/>
  <c r="P134" i="1"/>
  <c r="I143" i="1"/>
  <c r="P147" i="1"/>
  <c r="P194" i="1"/>
  <c r="I198" i="1"/>
  <c r="I201" i="1"/>
  <c r="P201" i="1"/>
  <c r="P203" i="1"/>
  <c r="P205" i="1"/>
  <c r="I213" i="1"/>
  <c r="I218" i="1"/>
  <c r="P218" i="1"/>
  <c r="P407" i="1"/>
  <c r="S136" i="1"/>
  <c r="M5" i="1"/>
  <c r="S5" i="1"/>
  <c r="P30" i="1"/>
  <c r="P38" i="1"/>
  <c r="P68" i="1"/>
  <c r="P72" i="1"/>
  <c r="I134" i="1"/>
  <c r="P160" i="1"/>
  <c r="P9" i="1"/>
  <c r="P18" i="1"/>
  <c r="I44" i="1"/>
  <c r="I68" i="1"/>
  <c r="P143" i="1"/>
  <c r="P196" i="1"/>
  <c r="I285" i="1"/>
  <c r="L283" i="1"/>
  <c r="J5" i="1"/>
  <c r="I6" i="1"/>
  <c r="N5" i="1"/>
  <c r="T5" i="1"/>
  <c r="I11" i="1"/>
  <c r="I15" i="1"/>
  <c r="I20" i="1"/>
  <c r="I26" i="1"/>
  <c r="I72" i="1"/>
  <c r="P78" i="1"/>
  <c r="P80" i="1"/>
  <c r="I160" i="1"/>
  <c r="I196" i="1"/>
  <c r="Q211" i="1"/>
  <c r="P213" i="1"/>
  <c r="U207" i="1"/>
  <c r="P412" i="1"/>
  <c r="P13" i="1"/>
  <c r="P24" i="1"/>
  <c r="P28" i="1"/>
  <c r="I78" i="1"/>
  <c r="I80" i="1"/>
  <c r="P198" i="1"/>
  <c r="I214" i="1"/>
  <c r="L207" i="1"/>
  <c r="I403" i="1"/>
  <c r="J409" i="1"/>
  <c r="I416" i="1"/>
  <c r="P481" i="1"/>
  <c r="Q5" i="1"/>
  <c r="P6" i="1"/>
  <c r="U5" i="1"/>
  <c r="P11" i="1"/>
  <c r="P15" i="1"/>
  <c r="P20" i="1"/>
  <c r="P26" i="1"/>
  <c r="I30" i="1"/>
  <c r="P44" i="1"/>
  <c r="I55" i="1"/>
  <c r="J53" i="1"/>
  <c r="I64" i="1"/>
  <c r="L71" i="1"/>
  <c r="I102" i="1"/>
  <c r="L136" i="1"/>
  <c r="I194" i="1"/>
  <c r="I203" i="1"/>
  <c r="I205" i="1"/>
  <c r="S210" i="1"/>
  <c r="S207" i="1" s="1"/>
  <c r="I215" i="1"/>
  <c r="P215" i="1"/>
  <c r="P403" i="1"/>
  <c r="I407" i="1"/>
  <c r="P410" i="1"/>
  <c r="I412" i="1"/>
  <c r="P416" i="1"/>
  <c r="I85" i="1"/>
  <c r="I49" i="1"/>
  <c r="P49" i="1"/>
  <c r="I89" i="1"/>
  <c r="P89" i="1"/>
  <c r="P99" i="1"/>
  <c r="I99" i="1"/>
  <c r="P106" i="1"/>
  <c r="P102" i="1"/>
  <c r="I106" i="1"/>
  <c r="P111" i="1"/>
  <c r="P116" i="1"/>
  <c r="I111" i="1"/>
  <c r="I116" i="1"/>
  <c r="I133" i="1"/>
  <c r="P131" i="1"/>
  <c r="I130" i="1"/>
  <c r="Q121" i="1"/>
  <c r="P137" i="1"/>
  <c r="I137" i="1"/>
  <c r="P151" i="1"/>
  <c r="I151" i="1"/>
  <c r="I147" i="1"/>
  <c r="P157" i="1"/>
  <c r="I157" i="1"/>
  <c r="R409" i="1"/>
  <c r="P486" i="1"/>
  <c r="I486" i="1"/>
  <c r="S84" i="1"/>
  <c r="P84" i="1" s="1"/>
  <c r="P85" i="1"/>
  <c r="J211" i="1"/>
  <c r="I211" i="1" s="1"/>
  <c r="O34" i="1"/>
  <c r="F98" i="1"/>
  <c r="K402" i="1"/>
  <c r="S400" i="1"/>
  <c r="O117" i="1"/>
  <c r="O116" i="1" s="1"/>
  <c r="O199" i="1"/>
  <c r="O22" i="1"/>
  <c r="C196" i="1"/>
  <c r="M60" i="1"/>
  <c r="K121" i="1"/>
  <c r="O159" i="1"/>
  <c r="R402" i="1"/>
  <c r="Q156" i="1"/>
  <c r="C61" i="1"/>
  <c r="C198" i="1"/>
  <c r="O202" i="1"/>
  <c r="Q136" i="1"/>
  <c r="U136" i="1"/>
  <c r="S53" i="1"/>
  <c r="C75" i="1"/>
  <c r="D121" i="1"/>
  <c r="N156" i="1"/>
  <c r="M402" i="1"/>
  <c r="O8" i="1"/>
  <c r="U61" i="1"/>
  <c r="U60" i="1" s="1"/>
  <c r="R207" i="1"/>
  <c r="M207" i="1"/>
  <c r="O216" i="1"/>
  <c r="O25" i="1"/>
  <c r="K98" i="1"/>
  <c r="O101" i="1"/>
  <c r="C78" i="1"/>
  <c r="U71" i="1"/>
  <c r="S121" i="1"/>
  <c r="C134" i="1"/>
  <c r="M121" i="1"/>
  <c r="H156" i="1"/>
  <c r="M156" i="1"/>
  <c r="O197" i="1"/>
  <c r="Q402" i="1"/>
  <c r="O29" i="1"/>
  <c r="J98" i="1"/>
  <c r="E136" i="1"/>
  <c r="M136" i="1"/>
  <c r="O138" i="1"/>
  <c r="E156" i="1"/>
  <c r="J156" i="1"/>
  <c r="G207" i="1"/>
  <c r="S98" i="1"/>
  <c r="H121" i="1"/>
  <c r="C35" i="1"/>
  <c r="L60" i="1"/>
  <c r="K84" i="1"/>
  <c r="T156" i="1"/>
  <c r="C160" i="1"/>
  <c r="C201" i="1"/>
  <c r="C416" i="1"/>
  <c r="C483" i="1"/>
  <c r="K481" i="1"/>
  <c r="I481" i="1" s="1"/>
  <c r="C481" i="1"/>
  <c r="E419" i="1"/>
  <c r="F60" i="1"/>
  <c r="J60" i="1"/>
  <c r="N61" i="1"/>
  <c r="I61" i="1" s="1"/>
  <c r="C64" i="1"/>
  <c r="J75" i="1"/>
  <c r="I75" i="1" s="1"/>
  <c r="C80" i="1"/>
  <c r="N98" i="1"/>
  <c r="R98" i="1"/>
  <c r="C102" i="1"/>
  <c r="O112" i="1"/>
  <c r="O111" i="1" s="1"/>
  <c r="O124" i="1"/>
  <c r="C130" i="1"/>
  <c r="O139" i="1"/>
  <c r="O153" i="1"/>
  <c r="O151" i="1" s="1"/>
  <c r="U156" i="1"/>
  <c r="O158" i="1"/>
  <c r="O161" i="1"/>
  <c r="O160" i="1" s="1"/>
  <c r="C203" i="1"/>
  <c r="O204" i="1"/>
  <c r="C205" i="1"/>
  <c r="O206" i="1"/>
  <c r="O16" i="1"/>
  <c r="O21" i="1"/>
  <c r="O23" i="1"/>
  <c r="O27" i="1"/>
  <c r="O7" i="1"/>
  <c r="O10" i="1"/>
  <c r="K60" i="1"/>
  <c r="T60" i="1"/>
  <c r="T71" i="1"/>
  <c r="K71" i="1"/>
  <c r="C99" i="1"/>
  <c r="O100" i="1"/>
  <c r="O103" i="1"/>
  <c r="O102" i="1" s="1"/>
  <c r="O110" i="1"/>
  <c r="O106" i="1" s="1"/>
  <c r="C111" i="1"/>
  <c r="C122" i="1"/>
  <c r="O123" i="1"/>
  <c r="C143" i="1"/>
  <c r="O144" i="1"/>
  <c r="O143" i="1" s="1"/>
  <c r="G156" i="1"/>
  <c r="K156" i="1"/>
  <c r="U193" i="1"/>
  <c r="U402" i="1"/>
  <c r="U409" i="1"/>
  <c r="O19" i="1"/>
  <c r="C38" i="1"/>
  <c r="G60" i="1"/>
  <c r="S60" i="1"/>
  <c r="C72" i="1"/>
  <c r="G71" i="1"/>
  <c r="N71" i="1"/>
  <c r="T136" i="1"/>
  <c r="G136" i="1"/>
  <c r="C151" i="1"/>
  <c r="C253" i="1"/>
  <c r="L402" i="1"/>
  <c r="O409" i="1"/>
  <c r="K136" i="1"/>
  <c r="M71" i="1"/>
  <c r="C157" i="1"/>
  <c r="D156" i="1"/>
  <c r="H60" i="1"/>
  <c r="C68" i="1"/>
  <c r="E121" i="1"/>
  <c r="C147" i="1"/>
  <c r="J193" i="1"/>
  <c r="O209" i="1"/>
  <c r="H71" i="1"/>
  <c r="G98" i="1"/>
  <c r="E98" i="1"/>
  <c r="M98" i="1"/>
  <c r="C137" i="1"/>
  <c r="D136" i="1"/>
  <c r="C194" i="1"/>
  <c r="E193" i="1"/>
  <c r="M193" i="1"/>
  <c r="C85" i="1"/>
  <c r="F84" i="1"/>
  <c r="C84" i="1" s="1"/>
  <c r="C44" i="1"/>
  <c r="J122" i="1"/>
  <c r="O32" i="1"/>
  <c r="O30" i="1" s="1"/>
  <c r="C53" i="1"/>
  <c r="T122" i="1"/>
  <c r="T121" i="1" s="1"/>
  <c r="C133" i="1"/>
  <c r="C55" i="1"/>
  <c r="T98" i="1"/>
  <c r="R121" i="1"/>
  <c r="R136" i="1"/>
  <c r="G193" i="1"/>
  <c r="K193" i="1"/>
  <c r="Q193" i="1"/>
  <c r="H193" i="1"/>
  <c r="N207" i="1"/>
  <c r="O221" i="1"/>
  <c r="O14" i="1"/>
  <c r="O17" i="1"/>
  <c r="S75" i="1"/>
  <c r="P75" i="1" s="1"/>
  <c r="J84" i="1"/>
  <c r="C106" i="1"/>
  <c r="D98" i="1"/>
  <c r="H98" i="1"/>
  <c r="Q98" i="1"/>
  <c r="U98" i="1"/>
  <c r="C116" i="1"/>
  <c r="J136" i="1"/>
  <c r="N136" i="1"/>
  <c r="N193" i="1"/>
  <c r="R193" i="1"/>
  <c r="D193" i="1"/>
  <c r="O212" i="1"/>
  <c r="L53" i="1"/>
  <c r="F71" i="1"/>
  <c r="O195" i="1"/>
  <c r="T193" i="1"/>
  <c r="O402" i="1"/>
  <c r="J402" i="1"/>
  <c r="N402" i="1"/>
  <c r="O131" i="1" l="1"/>
  <c r="O130" i="1" s="1"/>
  <c r="K400" i="1"/>
  <c r="E211" i="1"/>
  <c r="C211" i="1" s="1"/>
  <c r="O218" i="1"/>
  <c r="P53" i="1"/>
  <c r="C214" i="1"/>
  <c r="O214" i="1" s="1"/>
  <c r="N400" i="1"/>
  <c r="C193" i="1"/>
  <c r="I193" i="1"/>
  <c r="M400" i="1"/>
  <c r="D207" i="1"/>
  <c r="D496" i="1" s="1"/>
  <c r="P283" i="1"/>
  <c r="O213" i="1"/>
  <c r="I283" i="1"/>
  <c r="C34" i="1"/>
  <c r="C227" i="1"/>
  <c r="C419" i="1"/>
  <c r="I5" i="1"/>
  <c r="O211" i="1"/>
  <c r="I34" i="1"/>
  <c r="P34" i="1"/>
  <c r="I53" i="1"/>
  <c r="P193" i="1"/>
  <c r="O215" i="1"/>
  <c r="L52" i="1"/>
  <c r="I402" i="1"/>
  <c r="J400" i="1"/>
  <c r="J71" i="1"/>
  <c r="I71" i="1" s="1"/>
  <c r="P61" i="1"/>
  <c r="M52" i="1"/>
  <c r="P402" i="1"/>
  <c r="U52" i="1"/>
  <c r="P156" i="1"/>
  <c r="O99" i="1"/>
  <c r="O98" i="1" s="1"/>
  <c r="P60" i="1"/>
  <c r="T52" i="1"/>
  <c r="T496" i="1" s="1"/>
  <c r="P409" i="1"/>
  <c r="P5" i="1"/>
  <c r="Q210" i="1"/>
  <c r="P211" i="1"/>
  <c r="K52" i="1"/>
  <c r="P98" i="1"/>
  <c r="I98" i="1"/>
  <c r="P122" i="1"/>
  <c r="P121" i="1"/>
  <c r="J121" i="1"/>
  <c r="I121" i="1" s="1"/>
  <c r="I122" i="1"/>
  <c r="I136" i="1"/>
  <c r="P136" i="1"/>
  <c r="I156" i="1"/>
  <c r="R400" i="1"/>
  <c r="R496" i="1" s="1"/>
  <c r="I84" i="1"/>
  <c r="J210" i="1"/>
  <c r="I210" i="1" s="1"/>
  <c r="G52" i="1"/>
  <c r="G496" i="1" s="1"/>
  <c r="O201" i="1"/>
  <c r="O198" i="1"/>
  <c r="O196" i="1"/>
  <c r="O137" i="1"/>
  <c r="O136" i="1" s="1"/>
  <c r="O28" i="1"/>
  <c r="O9" i="1"/>
  <c r="C121" i="1"/>
  <c r="O157" i="1"/>
  <c r="O156" i="1" s="1"/>
  <c r="O122" i="1"/>
  <c r="O205" i="1"/>
  <c r="O400" i="1"/>
  <c r="Q400" i="1"/>
  <c r="O13" i="1"/>
  <c r="O20" i="1"/>
  <c r="C71" i="1"/>
  <c r="O24" i="1"/>
  <c r="C156" i="1"/>
  <c r="O26" i="1"/>
  <c r="O203" i="1"/>
  <c r="K419" i="1"/>
  <c r="I419" i="1" s="1"/>
  <c r="N60" i="1"/>
  <c r="I60" i="1" s="1"/>
  <c r="C98" i="1"/>
  <c r="C136" i="1"/>
  <c r="C60" i="1"/>
  <c r="U400" i="1"/>
  <c r="S71" i="1"/>
  <c r="O15" i="1"/>
  <c r="F52" i="1"/>
  <c r="O194" i="1"/>
  <c r="O11" i="1"/>
  <c r="O18" i="1"/>
  <c r="O6" i="1"/>
  <c r="H52" i="1"/>
  <c r="H496" i="1" s="1"/>
  <c r="O121" i="1" l="1"/>
  <c r="J52" i="1"/>
  <c r="E210" i="1"/>
  <c r="C210" i="1" s="1"/>
  <c r="M496" i="1"/>
  <c r="Q208" i="1"/>
  <c r="P210" i="1"/>
  <c r="N52" i="1"/>
  <c r="N496" i="1" s="1"/>
  <c r="P400" i="1"/>
  <c r="P71" i="1"/>
  <c r="S52" i="1"/>
  <c r="K496" i="1"/>
  <c r="J208" i="1"/>
  <c r="I208" i="1" s="1"/>
  <c r="U496" i="1"/>
  <c r="O5" i="1"/>
  <c r="O193" i="1"/>
  <c r="C52" i="1"/>
  <c r="E208" i="1" l="1"/>
  <c r="E207" i="1" s="1"/>
  <c r="E496" i="1" s="1"/>
  <c r="P52" i="1"/>
  <c r="Q207" i="1"/>
  <c r="P208" i="1"/>
  <c r="I52" i="1"/>
  <c r="J207" i="1"/>
  <c r="I207" i="1" s="1"/>
  <c r="O210" i="1"/>
  <c r="O208" i="1" s="1"/>
  <c r="O207" i="1" s="1"/>
  <c r="O496" i="1" s="1"/>
  <c r="S496" i="1"/>
  <c r="C207" i="1" l="1"/>
  <c r="C208" i="1"/>
  <c r="J496" i="1"/>
  <c r="P207" i="1"/>
  <c r="Q496" i="1"/>
  <c r="P496" i="1" s="1"/>
  <c r="C410" i="1"/>
  <c r="F400" i="1"/>
  <c r="F496" i="1" s="1"/>
  <c r="C496" i="1" s="1"/>
  <c r="C409" i="1" l="1"/>
  <c r="C400" i="1" s="1"/>
  <c r="I410" i="1"/>
  <c r="L409" i="1"/>
  <c r="I409" i="1" l="1"/>
  <c r="L400" i="1"/>
  <c r="L496" i="1" s="1"/>
  <c r="I496" i="1" s="1"/>
  <c r="I400" i="1"/>
</calcChain>
</file>

<file path=xl/sharedStrings.xml><?xml version="1.0" encoding="utf-8"?>
<sst xmlns="http://schemas.openxmlformats.org/spreadsheetml/2006/main" count="2317" uniqueCount="1179">
  <si>
    <t>Наименование мероприятий</t>
  </si>
  <si>
    <t>Предусмотрено по программе на 2019 год</t>
  </si>
  <si>
    <t>Утверждено (уточнено) в бюджете на 2019 год (тыс.руб.)</t>
  </si>
  <si>
    <t>% финансров.программ за отч.период</t>
  </si>
  <si>
    <t>Итого</t>
  </si>
  <si>
    <t>ФБ</t>
  </si>
  <si>
    <t>РБ</t>
  </si>
  <si>
    <t>МР</t>
  </si>
  <si>
    <t>МО</t>
  </si>
  <si>
    <t>ВБ</t>
  </si>
  <si>
    <t>Обеспечение качественным жильем на 2012-2022 годы</t>
  </si>
  <si>
    <t>Градостроительное планирование развития территорий. Снижение административных барьеров в области строительства</t>
  </si>
  <si>
    <t>Подготовка и утверждение документов по планировке территорий муниципальных образований</t>
  </si>
  <si>
    <t>Разработка местных нормативов градостроительного проектирования муниципальных образований</t>
  </si>
  <si>
    <t>Переселение граждан из ветхого и аварийного жилищного фонда</t>
  </si>
  <si>
    <t>Переселение граждан из аварийного жилищного фонда с использованием средств финансовой поддержки Фонда содействия реформированию жилищно-коммунального хозяйства (в рамках реализации республиканских адресных программ)</t>
  </si>
  <si>
    <t>Обеспечение жильем работников бюджетной сферы</t>
  </si>
  <si>
    <t>Предоставление работникам бюджетной сферы социальных выплат на приобретение жилья на первичном рынке недвижимости</t>
  </si>
  <si>
    <t>Комплексное освоение и развитие территорий в целях жилищного строительства</t>
  </si>
  <si>
    <t>Реализация проектов комплексного освоения и развития территорий в целях жилищного строительства</t>
  </si>
  <si>
    <t>Индивидуальное жилищное строительство</t>
  </si>
  <si>
    <t>Предоставление кредитных (заемных) средств гражданам на строительство индивидуального жилья сроком до 10 лет</t>
  </si>
  <si>
    <t>Выделение средств в виде капитальных вложений на обустройство зон индивидуальной жилой застройки</t>
  </si>
  <si>
    <t>Обеспечение жильем молодых семей</t>
  </si>
  <si>
    <t>Предоставление молодым семьям-участникам подпрограммы социальных выплат на приобретение жилья эконом-класса или строительство индивидуального жилого дома эконом-класса</t>
  </si>
  <si>
    <t>Обеспечение жильем отдельных категорий граждан</t>
  </si>
  <si>
    <t xml:space="preserve">Предоставление гражданам, пострадавших от воздействия радиационных аварий и катастроф и приравненных к ним лицам социальных выплат посредством государственных жилищных сертификатов на приобретение жилья </t>
  </si>
  <si>
    <t xml:space="preserve">Обеспечение жильем граждан-ветеранов боевых действий, инвалидов и семей, имеющих детей-инвалидов </t>
  </si>
  <si>
    <t>Обеспечение жильем многодетных семей, имеющих 5 и более несовершеннолетних детей</t>
  </si>
  <si>
    <t xml:space="preserve">Строительство жилищного фонда социального использования </t>
  </si>
  <si>
    <t>Строительство многоквартирных жилых домов социального использования</t>
  </si>
  <si>
    <t>Повышение доступности рынка многоквартирных жилых домов</t>
  </si>
  <si>
    <t>Предоставление участникам подпрограммы социальных выплат на приобретение жилья на первичном рынке недвижимости</t>
  </si>
  <si>
    <t>Ипотечное кредитование молодых учителей</t>
  </si>
  <si>
    <t>Предоставление участникам подпрограммы ипотечного кредитования молодых учителей</t>
  </si>
  <si>
    <t>Дорожное хозяйство на 2018-2022 годы</t>
  </si>
  <si>
    <t>Обеспечение безопасности дорожного движения на муниципальных автомобильных дорогах</t>
  </si>
  <si>
    <t>Инженерные сооружения муниципальных автомобильных дорог</t>
  </si>
  <si>
    <t>Строительство, проектирование и ремонт муни ципальных автомобильных дорог</t>
  </si>
  <si>
    <t xml:space="preserve"> Охрана труда в Горном улусе на 2018-2022г</t>
  </si>
  <si>
    <t>Специальная оценка условий труда работающих  в организациях,расположенных на территории Горного улуса</t>
  </si>
  <si>
    <t>Оказание консультативной и организационной помощи организациям, проводящим специальную оценку условий труда, в том числе по разработке и реализации мероприятий по приведению уровней воздействия вредных и (или) опасных производственных факторов на рабочих местах в соответствие с государственными нормативными требованиями охраны труда</t>
  </si>
  <si>
    <t xml:space="preserve">Проведение специальной оценки условий труда (аттестация рабочих мест)с последующей сертификацией организации работ по охране труда
</t>
  </si>
  <si>
    <t>Непрерывная подготовка работников по охране труда</t>
  </si>
  <si>
    <t>Выезды по обмену опытом по внедрению современных средств безопасности труда и улучшению условий труда работников, тиражирование лучших практик в сфере охраны труда</t>
  </si>
  <si>
    <t>Выезды по обмену опытом по внедрению современных средств безопасности труда и улучшению условий труда работников</t>
  </si>
  <si>
    <t>Издание и тиражирование  методических материалов по обучению в сфере охраны труда, инструкций и т.д</t>
  </si>
  <si>
    <t>Организация и осуществление непрерывной подготовки работников организаций в области охраны труда</t>
  </si>
  <si>
    <t xml:space="preserve"> Информационное обеспечение и пропаганда охраны труда</t>
  </si>
  <si>
    <t>Организация конкурсов в области охраны труда, награждение,проведение районных мероприятий</t>
  </si>
  <si>
    <t>Управление профессиональными рисками</t>
  </si>
  <si>
    <t>Обеспечение работников средствами индивидуальной и коллективной защиты</t>
  </si>
  <si>
    <t>Лечебно-профилактические мероприятия</t>
  </si>
  <si>
    <t>Проведение предрейсового медицинского осмотра</t>
  </si>
  <si>
    <t>Проведение  медицинского осмотра работников</t>
  </si>
  <si>
    <t>Создание условий для духовно-культурного развития граждан в МР "Горный улус" на 2018-2022 годы</t>
  </si>
  <si>
    <t>Осн.напр. 3.2. Модернизация библиотек</t>
  </si>
  <si>
    <t>Аттестация муниципальных служащих</t>
  </si>
  <si>
    <t>Профессиональная переподготовка</t>
  </si>
  <si>
    <t>Определение лучших муниципальных служащих года (материальное стимулирование)</t>
  </si>
  <si>
    <t>Выявление талантливых специалистов и профессионально устоявшихся управленцев для формирования кадрового резерва</t>
  </si>
  <si>
    <t>Проведение семинаров, совещаний, "круглых столов", конференций</t>
  </si>
  <si>
    <t>Семейная политика в Горном улусе на 2018-2022 годы</t>
  </si>
  <si>
    <t>Улучшение демографической ситуации</t>
  </si>
  <si>
    <t>Торжественная выписка из родильного отделения ЦРБ ко Дню Матери</t>
  </si>
  <si>
    <t>Подпрограмма  «Укрепление института семьи, возрождение и сохранение духовно-нравственных традиций семейных отношений»</t>
  </si>
  <si>
    <t>Учреждение улусного знака многодетным матерям «Ийэ5э махтал»</t>
  </si>
  <si>
    <t>Реализация программы «Мир молодой семьи». Работа клуба молодых семей при ЦППМ «Ейебул». Консультации, тренинги, лекции</t>
  </si>
  <si>
    <t>Подпрограмма «Профилактика семейного  неблагополучия и социального сиротства детей»</t>
  </si>
  <si>
    <t>Реализация программы «Надежда». Лечение и реабилитация созависимых семей от алкоголизма</t>
  </si>
  <si>
    <t>Организация работы и проведение мероприятий летних лагерей для детей и семей попавших в трудную жизненную ситуацию, в целях реабилитации и профилактики</t>
  </si>
  <si>
    <t>Организация и проведение месячника «Граждане Горного улуса за духовность и трезвость»</t>
  </si>
  <si>
    <t>Поддержка клубов по реабилитации  женщин, приемных родителей. Вовлечение родителей и детей в различные виды семейной деятельности</t>
  </si>
  <si>
    <t>Подпрограмма «Поддержка и создание условий для  пропаганды семейной политики и ЗОЖ»</t>
  </si>
  <si>
    <t xml:space="preserve">Проведение улусных смотра-конкурсов, фестивалей, спартакиад. Конкурсы на лучший проект по реализации семейной политики </t>
  </si>
  <si>
    <t>Назначение  денежного вознаграждения  за организацию и проведение безалкогольных юбилеев гражданам,  отмечающим 50-летний и 75-летний юбилей.</t>
  </si>
  <si>
    <t>Поддержка и развитие движения «Суорумньу»</t>
  </si>
  <si>
    <t>Участие в республиканских грантовых конкурсах, соревнованиях, торжественных встречах</t>
  </si>
  <si>
    <t>Подпрограмма «Повышение качества жизни малоимущих семей»</t>
  </si>
  <si>
    <t>Координация работы оказания материальной  малоимущим семьям из средств республиканского бюджета</t>
  </si>
  <si>
    <t>Организация  и проведение благотворительных акций, субботников, соревнований в помощь многодетным и малообеспеченным семьям</t>
  </si>
  <si>
    <t>Материальная помощь малоимущим семьям, семьям попавшим в трудную жизненную ситуацию</t>
  </si>
  <si>
    <t>Проведение улусных семинаров, круглых столов, выездов лекторов и консультантов  по вопросам семейной экономики. Распостранение опыта, практические советы)</t>
  </si>
  <si>
    <t>Старшее поколение на 2018-2022 годы</t>
  </si>
  <si>
    <t>Социальная защита прав и интересов старшего поколения</t>
  </si>
  <si>
    <t>Денежные выплаты участникам ВОВ, вдовам в связи с празднованием Дня Победы.</t>
  </si>
  <si>
    <t>Предоставление льгот Почетным гражданам Горного улуса на подписку улусной газеты "Улэ Кууьэ"</t>
  </si>
  <si>
    <t>Поддержка долгожителей</t>
  </si>
  <si>
    <t>Проведение улусной спартакиады ветеранов, посвященный 100-летию Героя Советского Союза В.Д.Лонгинова</t>
  </si>
  <si>
    <t>Улусный форум Совета ветеранов, посвященный 125-летию Маганинского наслега</t>
  </si>
  <si>
    <t>Мероприятия ко Дню Победы - 9 мая. День пожилых</t>
  </si>
  <si>
    <t>Торжесственное заседание улусного Совета,Главы МР Горный улус и общественности,посвященное дню Победы ВОВ в 1941-1945годы</t>
  </si>
  <si>
    <t>Организация поездки ветеранов в г.Якутск для посещения культурных объектов. Организация выезда председателей первичных организаций ветеранов по обмену опытом</t>
  </si>
  <si>
    <t>Поддержка деятельности общественных организаций ветеранов</t>
  </si>
  <si>
    <t>Поддержка общественных организаций ветеранов</t>
  </si>
  <si>
    <t>Поддержка школы третьего возраста</t>
  </si>
  <si>
    <t>Улучшение жилищных условий ветеранов тыла</t>
  </si>
  <si>
    <t>Оказание адресной материальной помощи на проведение ремонта жилья ветеранам труда по итогам проверок условий их жизни.</t>
  </si>
  <si>
    <t>Поддержка некоммерческих организаций и ТОС в Горном улусе на 2018-2022 годы</t>
  </si>
  <si>
    <t>Поддержка и содействие в работе общественных организаций и формирований</t>
  </si>
  <si>
    <t xml:space="preserve">Поддержка ТОС и микрорайонов
</t>
  </si>
  <si>
    <t>Конкурс социальных роликов "Моя команда"</t>
  </si>
  <si>
    <t>Создание и организация работы "Школа ораторского искусства"</t>
  </si>
  <si>
    <t>Фестиваль достижений: Премия за патриотизм "Модун санаа"</t>
  </si>
  <si>
    <t>Создание точек соприкосновения разных идей и возможностей</t>
  </si>
  <si>
    <t>Предоставление субсидий и грантов на поддержку СО НКО</t>
  </si>
  <si>
    <t>Софинансирование из местного бюджета для участия в республиканском, федеральном конкурсе Грантов</t>
  </si>
  <si>
    <t>Предоставление премии Главы МР "Горный улус" "Лучшая общественная организация" по итогам года</t>
  </si>
  <si>
    <t>Создание условий для развития сферы социальных услуг, предоставляемых СО НКО населению</t>
  </si>
  <si>
    <t>Развитие социального партнерства в сфере социальных услуг, предоставляемых СО НКО населению</t>
  </si>
  <si>
    <t>Оказание организационной, методической, финансовой помощи СО НКО  по государственной регистрации на получение статуса юридического лица путем проведения семинаров с привлечением специалистов</t>
  </si>
  <si>
    <t xml:space="preserve">Проведение круглых столов, конференций, методических семинаров с целью повышения квалификации кадров СО НКО </t>
  </si>
  <si>
    <t>Предоставление информационной, консультационной поддержки СО НКО</t>
  </si>
  <si>
    <t>Проведение конференций, семинаров по вопросам деятельности НКО, обмену опытом и распространению лучших практик</t>
  </si>
  <si>
    <t>Освещение деятельности СО НКО, благотворительной деятельности и добровольчества через организацию теле радиопрограмм, выпуска статей, специальных рубрик, спецыпусков в местной и республиканских газетах и журналах. Размещение информаций на официальном сайте МР "Горный улус"</t>
  </si>
  <si>
    <t>Обеспечение участия представителей СО НКО в общественном совете МР "Горный улус" по обсуждению проектов законодательных, номативных и правовых актов МР, по подготовке экспертных заключений, рекомендаций по этим документам</t>
  </si>
  <si>
    <t>9.</t>
  </si>
  <si>
    <t>Обеспечение безбарьерной среды жизнедеятельности инвалидов в Горном улусе на 2018-2022 годы</t>
  </si>
  <si>
    <t>Повышение уровня физической доступности объектов социальной инфраструктуры</t>
  </si>
  <si>
    <t xml:space="preserve">Обеспечение доступности приоритетных объектов и услуг в приоритетных сферах жизнедеятельности инвалидов и других маломобильных групп населения
</t>
  </si>
  <si>
    <t>Развитие адаптивной физической культуры и спорта</t>
  </si>
  <si>
    <t>Поддержка общественных организаций инвалидов</t>
  </si>
  <si>
    <t>10.</t>
  </si>
  <si>
    <t>Профилактика безнадзорности и правонарушения несовершеннолетних на территории Горного улуса на 2018-2022 годы</t>
  </si>
  <si>
    <t>Проведение соревнования между классными коллективами среди школ улуса "Лучший класс года"</t>
  </si>
  <si>
    <t>Проведение рейдов по неблагополучным семьям, семьям состоящих на учете КДН и ЗП, ПДН, а так же в  общественных местах и местах концентрации подростков и молодежи.</t>
  </si>
  <si>
    <t>Организация проведения благотворительной ёлки Главы МР "Горный улус"</t>
  </si>
  <si>
    <t>Конкурс на лучшую организацию работы Общественных советов по делам несовершеннолетних и защите их прав муниципальных образований Горного улуса по профилактике безнадзорности и правонарушений несовершеннолетних</t>
  </si>
  <si>
    <t>Организация и проведение конкурса для детей, состоящих на учете КДНиЗП, ПДН, СОП, ТЖС и «группы риска» совместно с ОМВД и ОГПС «Юный защитник»</t>
  </si>
  <si>
    <t xml:space="preserve">Подготовка и выпуск видеороликов по профилактике правонарушений  </t>
  </si>
  <si>
    <t>Проведение соревнования «Безопасное колесо» для профилактики ПДД</t>
  </si>
  <si>
    <t>Установка макетов на пешеходных переходах</t>
  </si>
  <si>
    <t>Развитие информационного общества на территории муниципального района «Горный улус» на 2018-2022 годы</t>
  </si>
  <si>
    <t>Оказание фотоуслуги</t>
  </si>
  <si>
    <t>Включение  в каталог российской прессы «Почта России»  общественно-политическую газету Горного улуса «Улэ кууьэ» (Сила труда)  на якутском языке</t>
  </si>
  <si>
    <t>Приобретение и сопровождение сертифицированного программного обеспечения для организации защищенного обмена информациейАнтивирус Dr-Web</t>
  </si>
  <si>
    <t>Управление программой</t>
  </si>
  <si>
    <t>Развитие предпринимательства и туризма в МР "Горный улус" на 2018-2022 годы</t>
  </si>
  <si>
    <t>Предоставление грантов начинающим субъектам малого предпринимательства</t>
  </si>
  <si>
    <t>Поддержка местных товаропроизводителей</t>
  </si>
  <si>
    <t xml:space="preserve">Поддержка социально-значимых услуг </t>
  </si>
  <si>
    <t>Создание и (или) обеспечение деятельности инфраструктуры поддержки предпринимательства</t>
  </si>
  <si>
    <t>Обеспечение деятельности МБУ "Центр поддержки предпринимательства Горного улуса"</t>
  </si>
  <si>
    <t>Предоставление микрокредитов субъектам малого и среднего предпринимательства</t>
  </si>
  <si>
    <t>Развитие туризма</t>
  </si>
  <si>
    <t>Создание и развитие туристических комплексов на территории МР "Горный улус"</t>
  </si>
  <si>
    <t xml:space="preserve">Развитие физической культуры и спорта в муниципальном районе «Горный улус» на 2018-2022 годы </t>
  </si>
  <si>
    <t>Руководство и управление в сфере установленныхфункций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</si>
  <si>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</si>
  <si>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Развитие массового спорта</t>
  </si>
  <si>
    <t>Участие сборных команд и спортсменов Горного улуса на  Республиканских, Российских и международных соревнованиях (проезд, питание, проживание)</t>
  </si>
  <si>
    <t>Обеспечение парадной и спортивной формой сборных команд Горного улуса для участия на Республиканских соревнованиях (Чемпионатах РС(Я) и на VII Спортивных играх народов РС(Я))</t>
  </si>
  <si>
    <t>Организация и проведение физкультурно-оздоровительных и спортивно-массовых мероприятий</t>
  </si>
  <si>
    <t>Спорт высших достижений</t>
  </si>
  <si>
    <t>Подготовка и участие сборной команды и спортсменов Горного улуса в Республиканских, Российских и международных соревнованиях</t>
  </si>
  <si>
    <t>Развитие национальных видов спорта</t>
  </si>
  <si>
    <t xml:space="preserve">Приобретение спортивных инвентарей для развитя национальных видов спорта в Горном улусе и для подготовки сборной команды Горного улуса на участие в XXI Спартакиаде по национальным видам спорта в с.Бердигестях </t>
  </si>
  <si>
    <t>Участие сборных команд и спортсменов Горного улуса по национальным видам спорта на  Республиканских, Российских и международных соревнованиях (проезд, питание, проживание)</t>
  </si>
  <si>
    <t>Организация и проведение соревнований по национальным видам спорта в Горном улусе.</t>
  </si>
  <si>
    <t>Укрепление мтб</t>
  </si>
  <si>
    <t xml:space="preserve">Развитие адаптивной физической культуры и спорта </t>
  </si>
  <si>
    <t>Создание эффективной системы по организации физкультурно-оздоровительной и спортивной работы с людьми с ограниченными возможностями здоровья, в том числе с инвалидностью</t>
  </si>
  <si>
    <t>Профилактика правонарушений  на территории Горного улуса на 2018-2022 годы</t>
  </si>
  <si>
    <t>Производство и размещение в общественных местах наружной рекламы по проблемам предупреждения алкоголизма, наркомании, пропаганде здорового образа жизни.</t>
  </si>
  <si>
    <t>Изготовление и трансляция видеороликов направленные по профилактике правонарушений</t>
  </si>
  <si>
    <t>Организация и проведение улусного конкурса «Лучшая народная дружина по охране общественного порядка»</t>
  </si>
  <si>
    <t>Молодежь Горного улуса РС (Я) на 2018-2022 годы</t>
  </si>
  <si>
    <t xml:space="preserve">Субсидия на поддержку ГБУ "ЦСППМ РС (Я)" </t>
  </si>
  <si>
    <t>Подготовка и повышение квалификаций молодых специалистов. Курсы повышения квалификации специалистов по молодежной политике</t>
  </si>
  <si>
    <t>Поддержка деятельности научных обществ, советов молодых ученых и специалистов; содействие участие молодежи в конкурсах профессионального мастерства</t>
  </si>
  <si>
    <t xml:space="preserve">Улусный семинар-практикум для специалистов по молодежной политике и руководителей МОО, НКО, ТОС "Основы управления проектами: упаковка грантового проекта" </t>
  </si>
  <si>
    <t>Профориентационный КВИЗ в рамках республиканского фестиваля "Педагогическая палитра"</t>
  </si>
  <si>
    <t>Единовременное денежное вознаграждение молодой семьи за проведение и организацию безалкогольной свадьбы</t>
  </si>
  <si>
    <t>Организация работысо студентами, уронженцев Горного улуса в г.Якутске и центральных городах РФ</t>
  </si>
  <si>
    <t>Поддержка мероприятий молодежных общественных объединений Горного улуса</t>
  </si>
  <si>
    <t>Стимулирование молодежи добившейся высоких результатов  за научно-исследоваельскую деятельность</t>
  </si>
  <si>
    <t>Учреждение ежегодной единовременной стипендии имени С.П. Данилова  лучшим студентам Горного улуса</t>
  </si>
  <si>
    <t>Учреждение ежегодной единовременной премии  Главы МР "Горный улус" имени М.Е. Тимофеева лучшим учащимся Горного улуса</t>
  </si>
  <si>
    <t>Встреча Главы с выпускниками-медалистами</t>
  </si>
  <si>
    <t>Республикаснкий фестиваль молодежи РС (Я)</t>
  </si>
  <si>
    <t xml:space="preserve">Республикаснкая эстафета Знамя Победы </t>
  </si>
  <si>
    <t>Дальневосточный образовательный форум "Синергия Севера"</t>
  </si>
  <si>
    <t>Обучающий семинар для волонтеров в рамках подготовки национального праздника Ысыах Олонхо - 2019</t>
  </si>
  <si>
    <t>Выезд волонтеров на национальный праздник Ысыах Олонхо -2019</t>
  </si>
  <si>
    <t>Торжественное вручение паспортов в День России</t>
  </si>
  <si>
    <t>Улусный конкурс "Мисс Горный"</t>
  </si>
  <si>
    <t xml:space="preserve">Конкурс на предоставление  субсидий из бюджета муниципального района "Горный улус» Республики Саха (Якутия) на реализацию мероприятий, направленных патриотическому воспитанию молодежи </t>
  </si>
  <si>
    <t>Улусная молодежная интеллектуальная игра посвященная 100-летию героя Советского Союза В.Д.Лонгинову</t>
  </si>
  <si>
    <t>Республиканская военно-спортивная игра "Снежный барс"</t>
  </si>
  <si>
    <t>Молодежный десант "Тусхал"</t>
  </si>
  <si>
    <t>Улусная деловая игра "Ыччат кууьэ-тумсуугэ" посвященная 120-летию образования МО "Маганинский наслег"</t>
  </si>
  <si>
    <t>Улусная конференция молодежи "Молодежь - энергия развития" (Дни Министерства молодежи и социальной коммуникации РС (Я) в Горном)</t>
  </si>
  <si>
    <t>Улусный фестиваль достижений: премия за патриотизм "Модун санаа" номинация "Доброволец Горного улуса", номинация "Лучшая молодежная инициатива"</t>
  </si>
  <si>
    <t>Молодежные акция "Свеча памяти", "Георгиевская лента", "День России", "День Флага РФ"</t>
  </si>
  <si>
    <t>Улусный образовательный форум для добровольческих и молодежны общественных организаций улуса (развитие добровольческого движения)</t>
  </si>
  <si>
    <t>Улусный спортивно-туристический поход молодежи</t>
  </si>
  <si>
    <t>Улусный  конкурс на предоставление грантов для реализации добровольческих проектов  (поддержка социально-ориентированных проектов молодежных и добровольческих организаций)</t>
  </si>
  <si>
    <t>Улусный конкурс молодых мастеров "Уран уус туьулгэтигэр - эдэр ыччат" в рамках подготовки к Играм Манчаары</t>
  </si>
  <si>
    <t xml:space="preserve">Интеллектуальная квест-игра Манчариада </t>
  </si>
  <si>
    <t>Охрана окружающей среды муниципального района «Горный улус» РС(Я) на период 2017-2022 годы</t>
  </si>
  <si>
    <t>Ликвидация несанкционированных мест размещения отходов на территории МР «Горный улус»</t>
  </si>
  <si>
    <t>Экологическое просвещение и информация</t>
  </si>
  <si>
    <t>Выпуск и изготовление рекламно-информационных материалов: буклеты, плакаты баннеры</t>
  </si>
  <si>
    <t>Организация постоянных теле-радиопередач, радиопередач, рекламных роликов, специальных полос в улусной газете</t>
  </si>
  <si>
    <t>Организация и проведение экологической акции «Природа и мы»</t>
  </si>
  <si>
    <t>Развитие животноводства</t>
  </si>
  <si>
    <t>Строительство и модернизация животноводческих объектов, совершенствование технологии производства продукции животноводства</t>
  </si>
  <si>
    <t>Строительство коровников</t>
  </si>
  <si>
    <t>Материально-техническое обеспечение коровников</t>
  </si>
  <si>
    <t>Ремонт, техническое перевооружение, электрификация сайылыков</t>
  </si>
  <si>
    <t>Мероприятия по электрификации объектов животноводства</t>
  </si>
  <si>
    <t>Строительство конебаз. Материально-техническое обеспечение.</t>
  </si>
  <si>
    <t>Поддержка племенного животноводства</t>
  </si>
  <si>
    <t>Мероприятия по искусственному осеменению</t>
  </si>
  <si>
    <t>Разведенин якутского скота</t>
  </si>
  <si>
    <t xml:space="preserve">Приобретение племенных КРС </t>
  </si>
  <si>
    <t>Углубление специализации животноводческих хозяйств, улучшение структуры стада, сохранение традиционных отраслей</t>
  </si>
  <si>
    <t>Поддержка скотоводства</t>
  </si>
  <si>
    <t>Стимулирование прироста поголовья КРС</t>
  </si>
  <si>
    <t>Поддержка табунного коневодства</t>
  </si>
  <si>
    <t>Поддержка свиноводческих хозяйств</t>
  </si>
  <si>
    <t>Развитие растениеводства</t>
  </si>
  <si>
    <t>Поддержание почвенного плодородия</t>
  </si>
  <si>
    <t>Вовлечение в сельскохозяйственный оборот неиспользуемых сенокосных угодий</t>
  </si>
  <si>
    <t xml:space="preserve">Внесение минеральных удобрений </t>
  </si>
  <si>
    <t>Приобретение ГСМ</t>
  </si>
  <si>
    <t>Развитие Кормопроизводства</t>
  </si>
  <si>
    <t>Приобретение сельскохозяйственной техники</t>
  </si>
  <si>
    <t>Финансовое обеспечение (возмещение) затрат на строительство изгороди</t>
  </si>
  <si>
    <t>Строительство силосных ям, восстановление заброшенных пашен</t>
  </si>
  <si>
    <t>Коренное улучшение лугов, поверхностное улучшение лугов</t>
  </si>
  <si>
    <t>Уплата иных платежей</t>
  </si>
  <si>
    <t>Повышение урожайности сельскохозяйственных культур</t>
  </si>
  <si>
    <t>Поддержка производства картофеля</t>
  </si>
  <si>
    <t>Поддержка производства овощей открытого грунта</t>
  </si>
  <si>
    <t>Поддержка развития семеноводства</t>
  </si>
  <si>
    <t>Поддержка посева кормовых культур</t>
  </si>
  <si>
    <t>Завоз семян</t>
  </si>
  <si>
    <t>Мероприятия по улучшению кормовой базы</t>
  </si>
  <si>
    <t>Транспортные расходы по перевозке кормов</t>
  </si>
  <si>
    <t>Организация мобильных бригад</t>
  </si>
  <si>
    <t>Развитие пищевой и перерабатывающей промышленности</t>
  </si>
  <si>
    <t>Поддержка производства и переработки продукции скотоводства</t>
  </si>
  <si>
    <t>Финансовое обеспечение (возмещение) затрат по производству и переработки продукции скотоводства</t>
  </si>
  <si>
    <t>Поддержка производства кобыльего молока</t>
  </si>
  <si>
    <t>Финансовое обеспечение (возмещение) части затрат по производству кобыльего молока</t>
  </si>
  <si>
    <t>Техническое перевооружение и модернизация производства</t>
  </si>
  <si>
    <t>Финансовое обеспечение (возмещение) затрат по обновлению оборудования</t>
  </si>
  <si>
    <t>Создание убойного пункта</t>
  </si>
  <si>
    <t>Финансовое обеспечение (возмещение) затрат по строительству убойного пункта</t>
  </si>
  <si>
    <t>Выкуп КРС</t>
  </si>
  <si>
    <t>Развитие мелиорации сельскохозяйственных земель</t>
  </si>
  <si>
    <t>Предотвращение выбытия из сельскохозяйственного оборота сельскохозяйственных угодий (КУЛ и ПУЛ)</t>
  </si>
  <si>
    <t xml:space="preserve">Строительство (реконструкция) мелиоративных объектов и отдельно стоящих гидротехнических сооружений </t>
  </si>
  <si>
    <t>Финансовое обеспечение (возмещение) затрат по строительству и реконструкции мелиоративных объектов и отдельно стоящих гидротехнических сооружений</t>
  </si>
  <si>
    <t>Развитие традиционных отраслей Севера</t>
  </si>
  <si>
    <t>Поддержка северного оленеводства</t>
  </si>
  <si>
    <t>Создание условий труда для оленеводческих бригад</t>
  </si>
  <si>
    <t>Стимулирование увеличения поголовья оленей</t>
  </si>
  <si>
    <t>Материально-техническое обеспечение оленеводства</t>
  </si>
  <si>
    <t>Возмещение затрат на проведение обязательной 2-х разовой корализации оленей</t>
  </si>
  <si>
    <t>Поддержка производства продукции отрасли оленеводства, товары народного промысла</t>
  </si>
  <si>
    <t>Финансовое обеспечение (возмещение) затрат по производству продукции отрасли оленеводства, товаров народного промысла</t>
  </si>
  <si>
    <t>Стимулирование отрасли звероводства</t>
  </si>
  <si>
    <t>Финансовое обеспечение (возмещение) затрат по содержанию звероводческих хозяйств</t>
  </si>
  <si>
    <t>Регулирование численности волков</t>
  </si>
  <si>
    <t>Финансовое обеспечение (возмещение) затрат на регулирование численности волков</t>
  </si>
  <si>
    <t>Устойчивое развитие сельских территорий</t>
  </si>
  <si>
    <t>Обеспечение жильем граждан и молодых семей, проживающих в сельской местности</t>
  </si>
  <si>
    <t>Предоставление социальных выплат на строительство (приобретение) жилья, а также субсидируемых кредитов сельхозтоваропроизводителям на жилищное строительство;</t>
  </si>
  <si>
    <t>Комплексное обустройство населенных пунктов</t>
  </si>
  <si>
    <t>Грантовая поддержка местных инициатив</t>
  </si>
  <si>
    <t>Создание общих условий функционирования сельского хозяйства</t>
  </si>
  <si>
    <t>Поддержка сельхозтоваропроизводителей в части обеспечения заемными средствами</t>
  </si>
  <si>
    <t>Возмещение части затрат по уплате процентов по краткосрочным кредитам и займам</t>
  </si>
  <si>
    <t>Возмещение части затрат по уплате процентов по инвестиционным кредитам и займам</t>
  </si>
  <si>
    <t>Финансовое оздоровление скотоводческих хозяйств</t>
  </si>
  <si>
    <t>Кадровое обеспечение</t>
  </si>
  <si>
    <t>Развитие менеджмента в сельском хозяйстве</t>
  </si>
  <si>
    <t>Обеспечение сельскохозяйственных организаций менеджерами</t>
  </si>
  <si>
    <t>Организация повышения квалификации специалистов АПК улуса на курсах и в высших учебных заведениях</t>
  </si>
  <si>
    <t>Финансовое обеспечение (возмещение) затрат на обучение специалистов АПК улуса на курсах повышения квалификации и в высших учебных заведениях</t>
  </si>
  <si>
    <t>Развитие кооперации и малых форм хозяйствования на селе</t>
  </si>
  <si>
    <t>Поддержка фермерства</t>
  </si>
  <si>
    <t>Поддержка начинающих фермеров</t>
  </si>
  <si>
    <t>Развитие семейных животноводчеких ферм на базе КФХ</t>
  </si>
  <si>
    <t>Содержание МКУ "УСХ МР "Горный улус"</t>
  </si>
  <si>
    <t>Содержание муниципального служащего</t>
  </si>
  <si>
    <t>Фонд оплаты труда начальника с отчислениями</t>
  </si>
  <si>
    <t>Содержание муниципального учреждения</t>
  </si>
  <si>
    <t>Фонд оплаты труда специалистов с отчислениями</t>
  </si>
  <si>
    <t>Муниципальные мероприятия</t>
  </si>
  <si>
    <t>Грант Главы лучшему сельхозтоваропроизводителю</t>
  </si>
  <si>
    <t>Итоги года сельского хозяйства в МР "Горный улус"</t>
  </si>
  <si>
    <t>Грант Главы лучшему агроселу</t>
  </si>
  <si>
    <t>улусное мероприятие "День коневода"</t>
  </si>
  <si>
    <t>Улусная ярмарка-выставка "Урожай"</t>
  </si>
  <si>
    <t>Улусная ярмарка "Идэьэ"</t>
  </si>
  <si>
    <t>День сельского хозяйства</t>
  </si>
  <si>
    <t>Улусное меропритяие "Конные скачки"</t>
  </si>
  <si>
    <t>Улусный конкурс косарей "Куулэй"</t>
  </si>
  <si>
    <t>Улусный конкурс "кырдал кыы4а"</t>
  </si>
  <si>
    <t>Торжественное закрытие года сельского хозяйства в МР "Горный улус"</t>
  </si>
  <si>
    <t>Республиканские мероприятия</t>
  </si>
  <si>
    <t>Финансовое обеспечение (возмещение) затрат на проведение мероприятий республиканского масштаба</t>
  </si>
  <si>
    <t>Содержание ведущего специалиста</t>
  </si>
  <si>
    <t>Фонд оплаты труда ведущего специалиста с отчислениями</t>
  </si>
  <si>
    <t>Транспортные расходы</t>
  </si>
  <si>
    <t>Софинансирование на приобретение а/м</t>
  </si>
  <si>
    <t>Приобретение материальных запасов (ГСМ, запчасти)</t>
  </si>
  <si>
    <t>Прочие затраты</t>
  </si>
  <si>
    <t>Прочие услуги</t>
  </si>
  <si>
    <t>Прочие расходы</t>
  </si>
  <si>
    <t>Управление муниципальной собственностью МР "Горный улус" на 2018-2022 г.г.</t>
  </si>
  <si>
    <t>Управление муниципальным имуществом</t>
  </si>
  <si>
    <t>Формирование муниципальной собственности на объекты капитального строительства (техническая инвентаризация)</t>
  </si>
  <si>
    <t>Учет муниципального имущества, в том числе проведение оценочных работ</t>
  </si>
  <si>
    <t>Страхование объектов, находящихся в казне</t>
  </si>
  <si>
    <t>Обеспечение прозрачности и публичности деятельности</t>
  </si>
  <si>
    <t>Управление земельными ресурсами</t>
  </si>
  <si>
    <t>Формирование муниципальной собственности на землю и проведение кадастровых работ</t>
  </si>
  <si>
    <t>Формирование муниципальной собственности на землю (кадастровые работы)</t>
  </si>
  <si>
    <t>Обеспечение рационального использования территорий поселений и картографическими материалами территорий населенных пунктов</t>
  </si>
  <si>
    <t>Подготовка проекта межевания территорий</t>
  </si>
  <si>
    <t>Проведение комплексных кадастровых работ</t>
  </si>
  <si>
    <t>Повышение поступления средств от налога на землю и арендной платы за использование земельных участков в консолидированный бюджет</t>
  </si>
  <si>
    <t>Организация учета использования земель</t>
  </si>
  <si>
    <t>Организация учета использования земель(программное обеспечение)</t>
  </si>
  <si>
    <t>Совершенствование дошкольного образования</t>
  </si>
  <si>
    <t xml:space="preserve"> Предоставление муниципальных услуг муниципальными образовательными учреждениями</t>
  </si>
  <si>
    <t>Выполнение муниципального задания дошкольными образовательными учреждениями</t>
  </si>
  <si>
    <t>Выплата компенсации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</si>
  <si>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Социальная поддержка педагогических работников образовательных учреждений</t>
  </si>
  <si>
    <t>Возмещение расходов, связанных с проездом в отпуск</t>
  </si>
  <si>
    <t>Возмещение расходов на оплату жилых помещений, отопления и освещения педагогическим работникам, проживающим и работающим в сельских населенных пунктах</t>
  </si>
  <si>
    <t xml:space="preserve">Совершенствование педагогического образования, подготовка и переподготовка кадров </t>
  </si>
  <si>
    <t xml:space="preserve">Модернизация дошкольного образования </t>
  </si>
  <si>
    <t>Совершенствование общего образования</t>
  </si>
  <si>
    <t>Предоставление муниципальных услуг муниципальными образовательными учреждениями</t>
  </si>
  <si>
    <t>Выполнение муниципального задания общеобразовательными учреждениями</t>
  </si>
  <si>
    <t>ФГОС, ПНПО, ЕГЭ</t>
  </si>
  <si>
    <t xml:space="preserve">Социальная поддержка педагогических работников образовательных учреждений </t>
  </si>
  <si>
    <t>Возмещение расходов связанных с проездом в отпуск</t>
  </si>
  <si>
    <t>Возмещение расходов на оплату жилых помещений, отопления и освещения педагогическим работникам проживающим и работающим в сельских населенных пунктах</t>
  </si>
  <si>
    <t>Развитие системы непрерывного образования, подготовки и переподготовки кадров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</si>
  <si>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</si>
  <si>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Развитие системы поддержки талантливых и инициативных детей</t>
  </si>
  <si>
    <t>Поддержка талантливых и инициативных детей (организация, участие в конкурсах и др. мероприятиях)</t>
  </si>
  <si>
    <t>Совершенствование дополнительного образования</t>
  </si>
  <si>
    <t xml:space="preserve"> Предоставление муниципальных услуг муниципальными образовательными учреждениями дополнительного образования детей</t>
  </si>
  <si>
    <t>Выполнение муниципального задания  учреждениями дополнительного образования детей</t>
  </si>
  <si>
    <t>Модернизация дополнительного образования детей</t>
  </si>
  <si>
    <t>Улучшение материально-технической базы, внедрение эффективных механизмов ресурсного обеспечения</t>
  </si>
  <si>
    <t>Оснащение спорт.инвентарем и спорт.оборудованием</t>
  </si>
  <si>
    <t>Создание условий, обеспечивающих доступность дополнительных общеобразовательных программ естесственно-научной и технической направленности</t>
  </si>
  <si>
    <t>Реализация программы персонифицированного финансирования дополнительного образования детей</t>
  </si>
  <si>
    <t>Совершенствование ресурсного обеспечения системы образования</t>
  </si>
  <si>
    <t>Укрепление материально-технической базы учреждений образования</t>
  </si>
  <si>
    <t xml:space="preserve">Создание дополнительных мест для детей в возрасте от 2 месяцев до 3 лет </t>
  </si>
  <si>
    <t>Строительство, приобретение и реконструкция зданий общего образования в рамках муниципально-частного партнерства</t>
  </si>
  <si>
    <t xml:space="preserve">Материально-техническое обеспечение образовательных учреждений для обеспечения санитарно-эпидемиологической безопасности  </t>
  </si>
  <si>
    <t>Материально-техническое обеспечение образовательных учреждений для обеспечения санитарно-эпидемиологической безопасности  ДДУ</t>
  </si>
  <si>
    <t>Материально-техническое обеспечение образовательных учреждений для обеспечения санитарно-эпидемиологической безопасности  школы</t>
  </si>
  <si>
    <t xml:space="preserve">Материально-техническое обеспечение образовательных учреждений для обеспечения пожарной безопасности </t>
  </si>
  <si>
    <t>Материально-техническое обеспечение образовательных учреждений для обеспечения пожарной безопасности  ДДУ</t>
  </si>
  <si>
    <t>Материально-техническое обеспечение образовательных учреждений для обеспечения пожарной безопасности  школы</t>
  </si>
  <si>
    <t xml:space="preserve">Материально-техническое обеспечение образовательных учреждений для обеспечения антитеррористической безопасности </t>
  </si>
  <si>
    <t>Материально-техническое обеспечение образовательных учреждений для обеспечения антитеррористической безопасности  ДДУ</t>
  </si>
  <si>
    <t>Материально-техническое обеспечение образовательных учреждений для обеспечения антитеррористической безопасности  школы</t>
  </si>
  <si>
    <t xml:space="preserve">Материально-техническое обеспечение образовательных учреждений для обеспечения безопасности перевозок </t>
  </si>
  <si>
    <t xml:space="preserve">Материально-техническое обеспечение образовательных учреждений для осуществления безопасности по охране труда </t>
  </si>
  <si>
    <t xml:space="preserve">Строительство и капитальный ремонт образовательных учреждений </t>
  </si>
  <si>
    <t>Строительство и реконструкция  образовательных учреждений</t>
  </si>
  <si>
    <t>Капитальный ремонт  образовательных учреждений</t>
  </si>
  <si>
    <t>Разработка, госэкспертиза ПСД, инженерно-геологические изыскания</t>
  </si>
  <si>
    <t>Укрепление материально-технической базы, внедрение эффективных механизмов ресурсного обеспечения</t>
  </si>
  <si>
    <t>Создание доступной среды жизнедеятельности инвалидов и других маломобильных групп населения</t>
  </si>
  <si>
    <t>Обеспечение доступности полноценного (качественного) отдыха и оздоровления детей</t>
  </si>
  <si>
    <t>Совершенствование деятельности по организации и обеспечению полноценного (качественного) отдыха и оздоровления детей</t>
  </si>
  <si>
    <t xml:space="preserve"> Расширение сети стационарных лагерей и их материально-технической базы</t>
  </si>
  <si>
    <t>Патриотическое воспитание молодежи</t>
  </si>
  <si>
    <t>Повышение эффективности управления муниципальными финансами  муниципального района «Горный улус» на 2018-2022 годы</t>
  </si>
  <si>
    <t>Наименование программы/подпрограммы/индикатора</t>
  </si>
  <si>
    <t>Единица измерения</t>
  </si>
  <si>
    <t>План</t>
  </si>
  <si>
    <t>Факт</t>
  </si>
  <si>
    <t>%</t>
  </si>
  <si>
    <t>Средний показатель МП</t>
  </si>
  <si>
    <t>Цель-обеспечение населения МР «Горный улус» качественным и доступным жильем</t>
  </si>
  <si>
    <t xml:space="preserve">Годовой объем ввода жилья, всего </t>
  </si>
  <si>
    <t>кв.м</t>
  </si>
  <si>
    <t>в т.ч. Многоквартирные дома</t>
  </si>
  <si>
    <t>ИЖС</t>
  </si>
  <si>
    <t>Градостроительное  планирование, развитие территорий. Снижение административных барьеров в области строительства</t>
  </si>
  <si>
    <t>Разработка  и утверждение  схемы территориального планирования МР «Горный улус»</t>
  </si>
  <si>
    <t>ед.</t>
  </si>
  <si>
    <t>Количество населенных пунктов, принявших генеральные планы</t>
  </si>
  <si>
    <t>Количество населенных пунктов, принявших правила землепользования</t>
  </si>
  <si>
    <t>Количество населенных пунктов, территория которых  обеспечена проектами планировки</t>
  </si>
  <si>
    <t>Количество населенных пунктов, территория которых  обеспечена нормативами градостроительного проектирования</t>
  </si>
  <si>
    <t>Общий объем освобожденного жилищного фонда</t>
  </si>
  <si>
    <t>Удельный вес ветхого и аварийного жилищного фонда</t>
  </si>
  <si>
    <t>Количество семей</t>
  </si>
  <si>
    <t>семей</t>
  </si>
  <si>
    <t>Ввод жилья</t>
  </si>
  <si>
    <t>Дополнительный ввод жилья</t>
  </si>
  <si>
    <t>Молодые семьи, улучшившие жилищные условия с помощью социальных выплат</t>
  </si>
  <si>
    <t>Строительство жилищного фонда социального использования</t>
  </si>
  <si>
    <t>кв.м.</t>
  </si>
  <si>
    <t>Повышение доступности рынка многоквартирных домов</t>
  </si>
  <si>
    <t>Количество молодых учителей</t>
  </si>
  <si>
    <t>чел.</t>
  </si>
  <si>
    <t>Цель-обеспечение доступности населенных пунктов и рынков сбыта производимой продукции, улучшение транспортно-эксплуатационных качеств автомобильных дорог общего пользования</t>
  </si>
  <si>
    <t>Общая протяженность автомобильных дорог общего пользования местного значения</t>
  </si>
  <si>
    <t>км.</t>
  </si>
  <si>
    <t>Протяженность автомобильных дорог общего пользования местного значения, не отвечающих нормативным требованиям</t>
  </si>
  <si>
    <t>Протяженность отремонтированных межпоселковых автодорог муниципального значения</t>
  </si>
  <si>
    <t>шт.</t>
  </si>
  <si>
    <t>Количество организаций в которых проведены энергетические обследования</t>
  </si>
  <si>
    <t>Количество организаций в которых проведены мероприятия по энергосбережнию</t>
  </si>
  <si>
    <t>Цель- достижение устойчивого развития агропромышленного комплекса</t>
  </si>
  <si>
    <t>Развитие  животноводства</t>
  </si>
  <si>
    <t>Поголовье сельскохозяйственных животных</t>
  </si>
  <si>
    <t>Крупный рогатый скот</t>
  </si>
  <si>
    <t>гол.</t>
  </si>
  <si>
    <t>в том числе коровы</t>
  </si>
  <si>
    <t>Лошади</t>
  </si>
  <si>
    <t>в том числе кобылы</t>
  </si>
  <si>
    <t>Свиньи</t>
  </si>
  <si>
    <t>в том числе маток</t>
  </si>
  <si>
    <t>Птицы</t>
  </si>
  <si>
    <t>Олени</t>
  </si>
  <si>
    <t>Осеменение КРС</t>
  </si>
  <si>
    <t>Производство продукции животноводства</t>
  </si>
  <si>
    <t>Производство мяса в живом весе</t>
  </si>
  <si>
    <t>тонн</t>
  </si>
  <si>
    <t>Сдача мяса</t>
  </si>
  <si>
    <t>Валовый надой молока</t>
  </si>
  <si>
    <t>Закуп молока</t>
  </si>
  <si>
    <t>Удой от 1 ф/к</t>
  </si>
  <si>
    <t>кг</t>
  </si>
  <si>
    <t>Производство яиц</t>
  </si>
  <si>
    <t>тыс. штук</t>
  </si>
  <si>
    <t>Увеличение урожайности сельскохозяйственных культур</t>
  </si>
  <si>
    <t>Посевная площадь сельхозкультур</t>
  </si>
  <si>
    <t>Картофель</t>
  </si>
  <si>
    <t>га</t>
  </si>
  <si>
    <t>Овощи открытого грунта</t>
  </si>
  <si>
    <t>Овощи закрытого грунта</t>
  </si>
  <si>
    <t>Валовый сбор сельхозкультур</t>
  </si>
  <si>
    <t>цн</t>
  </si>
  <si>
    <t>цн/га</t>
  </si>
  <si>
    <t>Сено</t>
  </si>
  <si>
    <t>Сенаж</t>
  </si>
  <si>
    <t>Завоз семян и удобрений</t>
  </si>
  <si>
    <t>Многолетние травы</t>
  </si>
  <si>
    <t>Площадь посадки многолетних трав</t>
  </si>
  <si>
    <t>Овес</t>
  </si>
  <si>
    <t>Площадь посадки овса</t>
  </si>
  <si>
    <t>Минеральные удобрения</t>
  </si>
  <si>
    <t>Культуртехнические работы и мелиорация</t>
  </si>
  <si>
    <t>Восстановление пашен</t>
  </si>
  <si>
    <t>Строительство изгороди</t>
  </si>
  <si>
    <t>км</t>
  </si>
  <si>
    <t>Приобретение с\х техники</t>
  </si>
  <si>
    <t xml:space="preserve">единиц </t>
  </si>
  <si>
    <t>Сохранение отрасли звероводства</t>
  </si>
  <si>
    <t>Поголовье серебристо-черных лисиц во всех формах хозяйствования, на конец года</t>
  </si>
  <si>
    <t>Производство хлеба и хлебобулочных изделий</t>
  </si>
  <si>
    <t>Производство цельномолочной продукции (в пересчете на молоко)</t>
  </si>
  <si>
    <t>Производство масла сливочного</t>
  </si>
  <si>
    <t>Полуфабрикаты мясные (мясосодержащие) охлажденные, подмороженные и замороженные</t>
  </si>
  <si>
    <t>Подпрограмма №1 Управление имуществом</t>
  </si>
  <si>
    <t>Задача №1 «Формирование, учет и мониторинг мун. собственности»</t>
  </si>
  <si>
    <t>Количество объектов, зарегистрированных в собственность МР «Горный улус»</t>
  </si>
  <si>
    <t>Увеличение количества объектов имущества казны улуса, которые имеют стоимость</t>
  </si>
  <si>
    <t>Задача №2 «Управление муниципальным имуществом»</t>
  </si>
  <si>
    <t>Объем доходов от управления муниципальным имуществом</t>
  </si>
  <si>
    <t>тыс. руб.</t>
  </si>
  <si>
    <t>тыс.руб.</t>
  </si>
  <si>
    <t>Увеличение количества застрахованных объектов казны</t>
  </si>
  <si>
    <t>Подпрограмма №2 Управление земельными ресурсами</t>
  </si>
  <si>
    <t>Задача №1 «Формирование муниципальной собственности на землю»</t>
  </si>
  <si>
    <t xml:space="preserve">Количество земельных участков, поставленных на кадастровый учет </t>
  </si>
  <si>
    <t xml:space="preserve">Задача №2 «Эффективное управление, владение, пользование 
и распоряжение ЗУ»
</t>
  </si>
  <si>
    <t>Объем доходов от управления муниципальным имуществом (земля)</t>
  </si>
  <si>
    <t>Задача №3 «Обеспечение рационального использования территорий и картографическими материалами территорий населенных пунктов»</t>
  </si>
  <si>
    <t>Увеличение количества населенных пунктов, на территории которых проведены работы по созданию и обновлению картографических материалов</t>
  </si>
  <si>
    <t>Увеличение количества кадастровых кварталов, на которые проведены комплексные кадастровые работы</t>
  </si>
  <si>
    <t>Цель - создание и обеспечение благоприятных условий для развития и повышения конкурентноспособности малого и среднего предпринимательства на территории МР "Горный улус"</t>
  </si>
  <si>
    <t>Количество субъектов малого и среднего предпринимательства</t>
  </si>
  <si>
    <t>Оборот продукции субъектов малого и среднего предпринимательства</t>
  </si>
  <si>
    <t>Объем отгруженных товаров собственного производства, выполнения работ и услуг</t>
  </si>
  <si>
    <t>Объем налоговых поступлений по специальным режимам налогообложения</t>
  </si>
  <si>
    <t>Количество субъектов малого и среднего предпринимательства получивших финансовую поддержку</t>
  </si>
  <si>
    <t>Доля занятых в малом бизнесе от общего числа занятых в экономике</t>
  </si>
  <si>
    <t>Доля органов местного самоуправления муниципального района «Горный улус» РС(Я) и подведомственных организаций, обеспечивающих размещение информации о своей деятельности на Интернет-сайтах, в соответствии со всеми требованиями федеральных и региональных нормативных правовых актов</t>
  </si>
  <si>
    <t xml:space="preserve">Количество услуг, оказываемых органами местного самоуправления в муниципальном районе «Горный улус» РС(Я) </t>
  </si>
  <si>
    <t>Доля пользователей в подразделениях Администрации улуса включенных в систему  электронного документооборота</t>
  </si>
  <si>
    <t>Количество размещенных программ в сети телевидения</t>
  </si>
  <si>
    <t xml:space="preserve">Количество размещенных программ  на радио </t>
  </si>
  <si>
    <t>Количество опубликованных материалов, пресс-релизов шт.</t>
  </si>
  <si>
    <t>Количество проведенных конкурсов журналисткого мастерства</t>
  </si>
  <si>
    <t>Доля МО, принявших участие в реализации программы развития муниципальной службы</t>
  </si>
  <si>
    <t xml:space="preserve">Удельный вес муниципальных служащих с образованием «Государственное и муниципальное управление»      </t>
  </si>
  <si>
    <t>Количество муниципальных служащих, прошедших курсы повышения квалификации</t>
  </si>
  <si>
    <t>Доля должностей муниципальной службы, на который сформирован кадровый резерв</t>
  </si>
  <si>
    <t>Доля муниципальных служащих, включенных в кадровый резерв</t>
  </si>
  <si>
    <t>Доля должностей муниципальной службы, на который сформирован резерв управленческих кадров</t>
  </si>
  <si>
    <t>Доля муниципальных служащих, включенных в резерв управленческих кадров</t>
  </si>
  <si>
    <t>Удельный вес рабочих мест, на которых проведена аттестация рабочих мест по условиям труда (% от общего количества рабочих мест в Горном улусе)</t>
  </si>
  <si>
    <t>Удельный вес , прошедших обучение по охране труда, работников и работодателей от общего числа работников</t>
  </si>
  <si>
    <t>Проведение мероприятий по обучению для специалистов малого бизнеса</t>
  </si>
  <si>
    <t>Количество изданных (тиражированных) учебно-методических материалов</t>
  </si>
  <si>
    <t>Количество проведенных семинаров, круглых столов, совещаний</t>
  </si>
  <si>
    <t>Проведение медицинских осмотров работников</t>
  </si>
  <si>
    <t>Количество проверок организаций в Горном улусе</t>
  </si>
  <si>
    <t>Цель - Повышение качества жизни людей старшего возраста</t>
  </si>
  <si>
    <t>Охват ветеранов войны и тыла на улусных и республиканских мероприятиях</t>
  </si>
  <si>
    <t>Доля ветеранов получивших материальную поддержку в течении реализации межмуниципальной программы</t>
  </si>
  <si>
    <t>Уровень качества жилищных условий ветеранов</t>
  </si>
  <si>
    <t>Цель - обеспечение наиболее полного и эффективного использования возможностей социально ориентированных НКО в решении задач социального характера посредством наращивания потенциала НКО и обеспечение максимально эффективного его использования</t>
  </si>
  <si>
    <t>Доля муниципальных образований, в которых реализуются программы поддержки социально ориентированных  некоммерческих организаций.</t>
  </si>
  <si>
    <t>Доля юридически зарегистрированных СО НКО на территории МР из общего числа НКО</t>
  </si>
  <si>
    <t>Доля юридически зарегистрированных ТОС на территории МР из общего числа "туелбэ"</t>
  </si>
  <si>
    <t xml:space="preserve">Доля СО НКО и ТОС, участвующих в конкурсах социально значимых проектов, из общего числа участников конкурсов    </t>
  </si>
  <si>
    <t>Доля СО НКО и ТОС, получивших Грантовые поддержки</t>
  </si>
  <si>
    <t>Доля СО НКО, предоставляющих населению социальные услуги</t>
  </si>
  <si>
    <t>Цель - обеспечение безбаръерной среды жизнедеятельности инвалидов, снижение уровня инвалидности, усиление социальной поддержки инвалидов, повышение эффективности реабилитации инвалидов в общество</t>
  </si>
  <si>
    <t>Доля лиц с ограниченными возможностями здоровья и инвалидов, систематически занимающихся физической культурой и спортом, в общей численности данной категории населения</t>
  </si>
  <si>
    <t>Доля доступных для инвалидов и других маломобильных групп населения приоритетных объектов социальной инфраструктуры в общем кол-ве приоритетных объектов</t>
  </si>
  <si>
    <t>Доля лиц с ограниченными возможностями здоровья и инвалидов принявших участие в соревнованиях по адаптивным видам спорта</t>
  </si>
  <si>
    <t>Цель - обеспечение необходимых условий для реализации семьей ее функций и повышения качества жизни семьи, укрепление и развите социального института семьи, защита ее интересов и прав, выявление и решение специфических проблем семьи, затрудняющих ее жизнедеятельность</t>
  </si>
  <si>
    <t>Улучшение демографической ситуации в улусе</t>
  </si>
  <si>
    <t>Коэффициент рождаемости по отношению коэффициента рождаемости в целом по Якутии</t>
  </si>
  <si>
    <t>промилле</t>
  </si>
  <si>
    <t>Укрепление института семьи, возрождение и сохранение духовно-нравственных традиций семейных отношений</t>
  </si>
  <si>
    <t>Коэффициент брачности</t>
  </si>
  <si>
    <t>Коэффициент разводимости</t>
  </si>
  <si>
    <t>Количество мероприятий, направленных на развитие духовно-нравственных традиций семейных отношений</t>
  </si>
  <si>
    <t>Профилактика  семейного неблагополучия и социального сиротства</t>
  </si>
  <si>
    <t>Доля семей, находящихся в социально опасном положении, поставленных на учете социального учреждения, из общего числа семей улуса</t>
  </si>
  <si>
    <t>Доля детей, находящихся в трудной жизненной ситуации, состоящих на учете социального учреждения, из общего числа детей улуса</t>
  </si>
  <si>
    <t>Доля человек, прошедших лечение от алкоголизма, из числа состоящих на учете в учреждениях социального обслуживания семьи и детей</t>
  </si>
  <si>
    <t>Поддержка и создание  условий для пропаганды семейной политики и ЗОЖ</t>
  </si>
  <si>
    <t>Доля численности населения, охваченного территориями опорных центров ЗОЖ, из общего числа населения</t>
  </si>
  <si>
    <t>Повышение качества жизни малоимущих семей</t>
  </si>
  <si>
    <t>Доля малоимущих семей, состоящих в реестре особо нуждающихся семей, из общего числа семей</t>
  </si>
  <si>
    <t>Цель-совершенствование комплексного подхода к решению проблем профилактики правонарушений,выявление причин и условий, способствующих совершению несовершеннолетними антиобщественных действий</t>
  </si>
  <si>
    <t>Количество несовершеннолетних, состоящих на учете в КДН и ЗП</t>
  </si>
  <si>
    <t>Число семей находящихся в социально – опасном положении, состоящих на учете в КДН и ЗП;</t>
  </si>
  <si>
    <t>Число несовершеннолетних, привлеченных к административной ответственности за появление в состоянии алкогольного опьянения, распитие спиртных напитков в общественных местах;</t>
  </si>
  <si>
    <t>Количество преступлений, совершенных несовершеннолетними</t>
  </si>
  <si>
    <t>Число несовершеннолетних в возрасте от 14 до 18 лет, получивших услугу временного трудоустройства</t>
  </si>
  <si>
    <t>Охват несовершеннолетних, состоящих на учете, дополнительным образованием в учреждениях культуры, спорта и дополнительного образования</t>
  </si>
  <si>
    <t>Количество общественных формирований направленных на профилактику правонарушений (ЮДП, ОКДН и другие общественные формирования )</t>
  </si>
  <si>
    <t>Муниципальная программа"Обеспечение правопорядка в сфере миграции на территории Горного района на 2012-2016 годы"</t>
  </si>
  <si>
    <t>Цель - повышение уровня предоставления государственных услуг, предупреждение правонарушений в сфере миграции, стабилизация миграционной обстановки в районе.</t>
  </si>
  <si>
    <t>Количество выданных паспортов РФ</t>
  </si>
  <si>
    <t>Количество проведенных проверок соблюдения миграционного законодательства</t>
  </si>
  <si>
    <t>Количество наложенных административных штрафов</t>
  </si>
  <si>
    <t>Цель - создание условий для успешной социализации и эффективной самореализации молодежи, развития потенциала молодежи в интересах развития улуса</t>
  </si>
  <si>
    <t>Численность специалистов по работе с молодежью прошедших курсы повышения квалификации</t>
  </si>
  <si>
    <t>Численность безработной молодежи</t>
  </si>
  <si>
    <t>Численность молодежи, получивших социально-психологические услуги</t>
  </si>
  <si>
    <t>Количество оказанных социально-психологических услуг</t>
  </si>
  <si>
    <t>Уровень преступности, совершенное несовершеннолетними и молодежью</t>
  </si>
  <si>
    <t>Количество зарегистрированных детских и молодежных организаций</t>
  </si>
  <si>
    <t>Цель-устойчивое и динамичное развитие физической культуры и спорта в Горном улусе</t>
  </si>
  <si>
    <t>Увеличение числа обновленного спортивного инвентаря и оборудования общеобразовательных учреждений и сел, обновление спортивных залов для развития массовых видов спорта</t>
  </si>
  <si>
    <t>Увеличение общего количества населения улуса, регулярно занимающегося физической культурой и спортом</t>
  </si>
  <si>
    <t>Присвоено спортивных разрядов (развитие спорта высших достижений)</t>
  </si>
  <si>
    <t>Увеличение выездов на учебно-тренировочные сборы, специализированную подготовку резерва и членов сборной команды Горного улуса (развитие спорта высших достижений)</t>
  </si>
  <si>
    <t>Увеличение количества медалей, завоеванных спортсменами Горного улуса на Чемпионатах Республики, Дальнего Востока, России, Европы, Мира</t>
  </si>
  <si>
    <t>Увеличение доли граждан систематически занимающихся национальными видами спорта, в общей численности населения</t>
  </si>
  <si>
    <t>Цель  - комплексное развитие и реализация культурного потенциала Горного улуса, сохранение материального и нематериального культурного наследия жителей улуса</t>
  </si>
  <si>
    <t>Развитие народного творчества и культурно- досуговой деятельности Горного улуса</t>
  </si>
  <si>
    <t>Удовлетворенность жителей качеством предоставления муниципальных услуг КДУ</t>
  </si>
  <si>
    <t>Численность участников культурно-досуговых формирований и культурно-массовых мероприятий на платной основе</t>
  </si>
  <si>
    <t>тыс. чел.</t>
  </si>
  <si>
    <t>Доля детей участников культурно-досуговых формирований и культурно-массовых мероприятий на платной основе из общей численности участников</t>
  </si>
  <si>
    <t>Количество клубных формирований</t>
  </si>
  <si>
    <t>Участие фольклорных коллективов, мастеров – ремесленников в фестивалях, конкурсах, выставках российского, международного уровней</t>
  </si>
  <si>
    <t>ед. в год</t>
  </si>
  <si>
    <t>Развитие библиотечного дела</t>
  </si>
  <si>
    <t>Удовлетворенность пользователей услугами библиотеки</t>
  </si>
  <si>
    <t>Охват населения библиотечным обслуживанием</t>
  </si>
  <si>
    <t>Количество библиографических записей в сводном электронном каталоге библиотек Горного улуса, в том числе включенные в Сводный каталог библиотек России</t>
  </si>
  <si>
    <t>тыс.ед.</t>
  </si>
  <si>
    <t>Обновляемость книжного фонда  к общему фонду</t>
  </si>
  <si>
    <t>Книгообеспеченность на 1 жителя</t>
  </si>
  <si>
    <t>Количество оцифрованных документов</t>
  </si>
  <si>
    <t>стр.</t>
  </si>
  <si>
    <t>Доля модельных библиотек из общего числа библиотек ЦБС</t>
  </si>
  <si>
    <t>Развитие музейного дела</t>
  </si>
  <si>
    <t>Удовлетворенность жителей услугами музеев</t>
  </si>
  <si>
    <t>Доля предоставленных(во всех форматах) зрителю музейных предметов в общем количестве музейных предметов основного фонда</t>
  </si>
  <si>
    <t>Посещаемость музейных учреждений</t>
  </si>
  <si>
    <t>Посещаемость музейных учреждений (на платной основе)</t>
  </si>
  <si>
    <t>Выставочные проекты, осуществляемые на территории Горного улуса</t>
  </si>
  <si>
    <t>Проведение научных исследований, экспедиций и проектов</t>
  </si>
  <si>
    <t>Цель - обеспечение доступности качественного образования, соответствующего требованиям социально-экономического развития Горного улуса</t>
  </si>
  <si>
    <t>Дошкольное образование</t>
  </si>
  <si>
    <t>Доля детей в возрасте от 12 месяцев до 7 лет,  охваченных  различными формами дошкольного образования</t>
  </si>
  <si>
    <t>Охват детей от 5 до 7 лет в дошкольных учреждениях</t>
  </si>
  <si>
    <t>Охват дошкольными образовательными учреждениями детей в возрасте от 3 до 7 лет</t>
  </si>
  <si>
    <t>Для выпускников общеобразовательных учреждений, получивших аттестат, от общего количества выпускников общеобразовательных учреждений</t>
  </si>
  <si>
    <t>Доля выпускников муниципальных общеобразовательных учреждений, сдавших единый государственный экзамен по русскому языку</t>
  </si>
  <si>
    <t>Доля выпускников муниципальных общеобразовательных учреждений, сдавших единый государственный экзамен по математике</t>
  </si>
  <si>
    <t>Доля выпускников общеобразова-тельных учреждений, поступивших в учреждения профессионального образования и ВУЗ</t>
  </si>
  <si>
    <t>Удельный вес детей-инвалидов, получающих образование на дому с использованием дистанционных образовательных технологий, от общего числа детей-инвалидов, которым это показано</t>
  </si>
  <si>
    <t>Доля детей, которым оказана поддержка в творческом развитии</t>
  </si>
  <si>
    <t>Развитие профильного, дуального, агропрофилированного образования</t>
  </si>
  <si>
    <t>Доля выпускников 9 классов, которым предоставлена возможность выбора профиля обучения, в общей численности выпускников 9 классов, проживающих в сельской местности, на удаленных и труднодоступных территориях</t>
  </si>
  <si>
    <t>Доля охвата учащихся дуальным образованием</t>
  </si>
  <si>
    <t>Доля охвата учащихся агропрофилированным образованием</t>
  </si>
  <si>
    <t>Доля детей и подростков в возрасте 6-18 лет, занимающихся в системе дополнительного образования детей, в общей численности детей и подростков в возрасте 6-18 лет</t>
  </si>
  <si>
    <t>Доля детей, находящихся в трудной жизненной ситуации, охваченных бесплатным дополнительным образованием</t>
  </si>
  <si>
    <t>Доля детей в возрасте от 5 до 18 лет, получающих дополнительное образование с использованием сертификата дополнительного образования</t>
  </si>
  <si>
    <t>Совершествование кадрового и материально-технического обеспечения системы образования</t>
  </si>
  <si>
    <t>Доля учителей общеобразовательных учреждений, имеющих стаж педагогической работы до 10 лет, в общей численности учителей  общеобразовательных учреждений</t>
  </si>
  <si>
    <t>Доля педагогов, распространивших опыт работы на муниципальном, региональном уровнях</t>
  </si>
  <si>
    <t>Укрепление материально-технической базы организаций образования</t>
  </si>
  <si>
    <t>Количество новых зданий образовательных организаций, создаваемых путем строительства, приобретения и реконструкции образовательных организаций, в том числе по муниципально-частному партнерству</t>
  </si>
  <si>
    <t xml:space="preserve">Доля детей, обучающихся в первую смену, в общей численности обучающихся </t>
  </si>
  <si>
    <t>Обеспечение доступности  полноценного (качественного) отдыха и оздоровления детей</t>
  </si>
  <si>
    <t>Удельный вес численности детей, охваченных полезной деятельностью, организованным отдыхом и оздоровлением в летнее время</t>
  </si>
  <si>
    <t>Доля детей, находящихся в трудной жизненной ситуации, охваченных организованным  отдыхом и оздоровлением</t>
  </si>
  <si>
    <t>Доля потребителей в жилых домах, обеспеченных доступом к централизованной коммунальной инфраструктуре</t>
  </si>
  <si>
    <t>Индекс нового строительства</t>
  </si>
  <si>
    <t>Удельное водоотведение</t>
  </si>
  <si>
    <t>Водоснабжение</t>
  </si>
  <si>
    <t>Уровень потерь</t>
  </si>
  <si>
    <t>Продолжительность (бесперебойность) поставки товаров и услуг</t>
  </si>
  <si>
    <t>час/день</t>
  </si>
  <si>
    <t>Коэффициент потерь</t>
  </si>
  <si>
    <t>Износ сетей  водоснабжения</t>
  </si>
  <si>
    <t>Износ оборудования</t>
  </si>
  <si>
    <t>Удельный вес сетей, нуждающихся в замене</t>
  </si>
  <si>
    <t>Обеспеченность общедомовыми приборами учета</t>
  </si>
  <si>
    <t>Соответствие качества воды установленным требованиям</t>
  </si>
  <si>
    <t>Удельное водопотребление</t>
  </si>
  <si>
    <t>Производительность труда</t>
  </si>
  <si>
    <t>Эффективность использования энергии (энергоемкость производства)</t>
  </si>
  <si>
    <t>Утилизация ТБО (захоронение)</t>
  </si>
  <si>
    <t>Продолжительность оказания услуг</t>
  </si>
  <si>
    <t>Час/день</t>
  </si>
  <si>
    <t>Соответствие качества утилизации ТБО установленным требованиям</t>
  </si>
  <si>
    <t>Коэффициент заполняемости полигона</t>
  </si>
  <si>
    <t>Обеспечение инструментального контроля</t>
  </si>
  <si>
    <t>Объем реализации товаров и услуг</t>
  </si>
  <si>
    <t>Теплоснабжение</t>
  </si>
  <si>
    <t>Аварийность системы</t>
  </si>
  <si>
    <t>ед./км</t>
  </si>
  <si>
    <t>Гкал/км</t>
  </si>
  <si>
    <t>Износ сетей теплоснабжения</t>
  </si>
  <si>
    <t>Протяженность заменяемых сетей теплоснабжения</t>
  </si>
  <si>
    <t>Общая протяженность сетей теплоснабжения</t>
  </si>
  <si>
    <t>Износ котельного оборудования теплоснабжения</t>
  </si>
  <si>
    <t>Уровень загрузки производственных мощностей</t>
  </si>
  <si>
    <t>Обеспеченность приборами учета</t>
  </si>
  <si>
    <t>Доля потребителей в жилых домах, обеспеченных доступом к услуге</t>
  </si>
  <si>
    <t>Доля расходов на оплату услуг в совокупном доходе населения</t>
  </si>
  <si>
    <t>Уровень сбора платежей</t>
  </si>
  <si>
    <t>Эффективность использования топлива угольных котельных</t>
  </si>
  <si>
    <t>кг.у.т./Гкал</t>
  </si>
  <si>
    <t>Эффективность использования топлива нефтяных котельных</t>
  </si>
  <si>
    <t>Эффективность использования топлива газовых котельных</t>
  </si>
  <si>
    <t>Эффективность использования воды</t>
  </si>
  <si>
    <t>Эффективность использования электрической энергии</t>
  </si>
  <si>
    <t>кВт∙ч/Гкал</t>
  </si>
  <si>
    <t>Расход электроэнергии</t>
  </si>
  <si>
    <t>тыс. кВт</t>
  </si>
  <si>
    <t>Выработка</t>
  </si>
  <si>
    <t>Гкал</t>
  </si>
  <si>
    <t>Электроснабжение</t>
  </si>
  <si>
    <t>Уровень потерь % к отпуску в сеть</t>
  </si>
  <si>
    <t>фактический уровень потерях в сетях</t>
  </si>
  <si>
    <t>тыс. кВт∙ч.</t>
  </si>
  <si>
    <t>тыс. кВт∙ч./км</t>
  </si>
  <si>
    <t>Износ системы</t>
  </si>
  <si>
    <t>Обеспеченность приборами учета электроэнергии</t>
  </si>
  <si>
    <t>Индекс нового строительства сетей электроснабжения</t>
  </si>
  <si>
    <t>Индекс нового строительства дизельных электростанций</t>
  </si>
  <si>
    <t xml:space="preserve">Количество ликвидированных несанкционированных мест размещения отходов </t>
  </si>
  <si>
    <t>Установка баннеров</t>
  </si>
  <si>
    <t xml:space="preserve">Количество выходов в СМИ (радио, тв, газета) </t>
  </si>
  <si>
    <t>Количество участников акции "Природа и мы"</t>
  </si>
  <si>
    <t>Плата за негативное воздействие на окружающую среду</t>
  </si>
  <si>
    <t>Взимание штрафов</t>
  </si>
  <si>
    <t>Муниципальная программа «Профилактика правонарушений на территории муниципального района «Горный улус» в период 2018-2022 годы»</t>
  </si>
  <si>
    <t>Удельный вес тяжких и особо тяжких преступлений в общей структуре зарегистрированных преступлений</t>
  </si>
  <si>
    <t>Количество дорожно-транспортных происшествий</t>
  </si>
  <si>
    <t>Число пострадавших в результате дорожно-транспортных происшествий</t>
  </si>
  <si>
    <t xml:space="preserve"> Муниципальная программа «Повышение эффективности управления муниципальными финансами  муниципального района «Горный улус» на 2018-2022 годы» </t>
  </si>
  <si>
    <t>да</t>
  </si>
  <si>
    <t>Проведение оценки эффективности муниципальных  программ (подпрограмм, мероприятий), разработка предложений по их корректировке</t>
  </si>
  <si>
    <t>Проведение мероприятий по интеграции муниципальных  программ в бюджетный процесс</t>
  </si>
  <si>
    <t>нет</t>
  </si>
  <si>
    <t>&lt; 47%</t>
  </si>
  <si>
    <t>Среднее отношение дефицита местных бюджетов к доходам без учета безвозмездных поступлений</t>
  </si>
  <si>
    <t>Средняя долговая нагрузка на местные бюджеты</t>
  </si>
  <si>
    <t>Отношение расходов на обслуживание муниципального  долга в расходах муниципального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</t>
  </si>
  <si>
    <t>&lt; 2,6%</t>
  </si>
  <si>
    <t>Процент абсолютного отклонения фактического объема доходов муниципального района (без учета безвозмездных поступлений) от первоначального плана, %</t>
  </si>
  <si>
    <t>&lt; 3%</t>
  </si>
  <si>
    <t xml:space="preserve">Недопущение просроченной кредиторской задолженности муниципального района «Горный улус» и муниципальных учреждений </t>
  </si>
  <si>
    <t>Отношение просроченной кредиторской задолженности местных бюджетов и муниципальных учреждений к расходам местных бюджетов</t>
  </si>
  <si>
    <t>Доля доходов, полученных при исполнении местных бюджетов сверх утвержденных решениями о местном бюджете от общего объема доходов, направляемая на погашение муниципального долга, %</t>
  </si>
  <si>
    <t>&gt; 10%</t>
  </si>
  <si>
    <t xml:space="preserve">Наличие усовершенствованного порядка оценки эффективности предоставленных (планируемых к предоставлению) налоговых льгот </t>
  </si>
  <si>
    <t xml:space="preserve">Наличие Плана мероприятий по исключению/изменению/дополнению предоставленных (планируемых к предоставлению) налоговых льгот </t>
  </si>
  <si>
    <t>Охват муниципальных образований мониторингом качества финансового менеджмента</t>
  </si>
  <si>
    <t>Соотношение объема проверенных средств местного бюджета и общей суммы расходов местного бюджета при осуществлении внутреннего муниципального финансового контроля</t>
  </si>
  <si>
    <t>&gt; 20</t>
  </si>
  <si>
    <t>Наличие нормативных правовых актов по контролю в сфере закупок</t>
  </si>
  <si>
    <t>Проведение контроля за соблюдением органами местного самоуправления нормативов формирования расходов на оплату труда депутатов, выборных должностных лиц местного самоуправления, осуществляющих свои полномочия на постоянной основе, муниципальных служащих и (или) содержание органов местного самоуправления в соответствии с нормативным правовым актом субъекта Российской Федерации</t>
  </si>
  <si>
    <t>Проведение анализа внутреннего финансового контроля и внутреннего финансового аудита</t>
  </si>
  <si>
    <t>Исполнение плана проведения ведомственного контроля, в том числе в сфере закупок</t>
  </si>
  <si>
    <t xml:space="preserve">Количество семинаров для органов муниципального финансового контроля, в которых принимали участие </t>
  </si>
  <si>
    <t>Доля закупок для обеспечения муниципальных нужд, проведенных путем электронного аукциона и конкурса, в общем объеме закупок для обеспечения муниципальных нужд (без учета малых закупок)</t>
  </si>
  <si>
    <t>Доля закупок для обеспечения муниципальных нужд, проводимых путем конкурентных процедур, признанных несостоявшимися в общем объеме закупок для обеспечения муниципальных нужд, проводимых путем конкурентных процедур (без учета малых закупок)</t>
  </si>
  <si>
    <t>Объем закупок у единственного поставщика (подрядчика, исполнителя) в общем объеме закупок для обеспечения муниципальных нужд (без учета малых закупок и закупок у единственного поставщика (подрядчика, исполнителя) в результате признания конкурентных процедур несостоявшимися)</t>
  </si>
  <si>
    <t>Повышение уровня открытости и понятности бюджетных данных для населения</t>
  </si>
  <si>
    <t>Количество вовлеченных в программу развития инициативного бюджетирования муниципалитетов</t>
  </si>
  <si>
    <t>3МО</t>
  </si>
  <si>
    <t>Количество мероприятий с участием граждан по обсуждению приоритетов расходования бюджетных средств и реализации проектов инициативного бюджетирования</t>
  </si>
  <si>
    <t>Количество работников, проходивших обучение</t>
  </si>
  <si>
    <t xml:space="preserve"> Подпрограмма "Профориентация, временная занятость подростков и молодежи"</t>
  </si>
  <si>
    <t>Подпрограмма "Профилактика+пропаганда ЗОЖ"</t>
  </si>
  <si>
    <t>Поддержка молодежных общественных объединений</t>
  </si>
  <si>
    <t xml:space="preserve"> Поддержка одаренной молодежи (стимулирование творческой, талантливой молодежи и спортсменов)</t>
  </si>
  <si>
    <t>Молодежная культура, досуг и творчество</t>
  </si>
  <si>
    <t xml:space="preserve"> Развитие системы информационного обеспечения молодежи</t>
  </si>
  <si>
    <t>Подпрограмма "Гражданско-патриотическое воспитание граждан"</t>
  </si>
  <si>
    <t>Подпрограмма "Продвижение Игр Манчаары в Горном улусе"</t>
  </si>
  <si>
    <t>Софинансирование в ППМИ</t>
  </si>
  <si>
    <t>Обслуживание камер видеонаблюдения</t>
  </si>
  <si>
    <t>Приобретение источников беспребойного питания (ИБП)</t>
  </si>
  <si>
    <t>Оказание информационных услуг по подготовке, размещению материалов (сюжетов, телепередач, репортажей, роликов, объявлений), освещающих вопросы деятельности Администрации МР “Горный улус»</t>
  </si>
  <si>
    <t>Публикация объявлений, некрологов, соболезнований в республиканских газетах, изготовление  и показ роликов,  объявлений на республиканском телерадиовещании НВК «Саха»</t>
  </si>
  <si>
    <t>Улусный конкурс для СМИ, общественных корреспондентов</t>
  </si>
  <si>
    <t>Оказание услуг по размещению в печатном издании муниципальных правовых актов, подлежащих официальному опубликованию, объявлений, некрологов, соболезнований, информационных материалов администрации муниципального района «Горный улус»</t>
  </si>
  <si>
    <t>Освещение деятельности МР «Горный улус» в радиоэфире на радиоканале «Дабаан»</t>
  </si>
  <si>
    <t xml:space="preserve">Энергосбережение на территории МР "Горный улус" на 2015-2020 годы </t>
  </si>
  <si>
    <t xml:space="preserve">Комплексное развитие систем коммунальной ифраструктуры муниципальных образований МР "Горный улус" на период до 2023 года" </t>
  </si>
  <si>
    <t>Посадка деревьев</t>
  </si>
  <si>
    <t>Да/нет</t>
  </si>
  <si>
    <t>Да</t>
  </si>
  <si>
    <t>&lt; 5%</t>
  </si>
  <si>
    <t>&lt; 10%</t>
  </si>
  <si>
    <t>да/нет</t>
  </si>
  <si>
    <t>х</t>
  </si>
  <si>
    <t>Х</t>
  </si>
  <si>
    <t>ед</t>
  </si>
  <si>
    <t>Ед.</t>
  </si>
  <si>
    <t>Увеличение общего числа специалистов по физической культуре и спорту с высшим профессиональным образованием</t>
  </si>
  <si>
    <t>Развитие и обеспечение функционироввания муниципальных автоматизированных информационных систем.Сопровождение и сервисное обслуживание программы электронного документооборота, консультант плюс</t>
  </si>
  <si>
    <t>Создание инфраструктуры беспроводного широкополостного доступа ( не ниже 2Мб/с) в сеть Интернет микрорайона ПМК,ДРСУ,мест массового скопления людей</t>
  </si>
  <si>
    <t>Содержание, обновление официального сайта МР «Горный улус»</t>
  </si>
  <si>
    <t>Развитие информационно-коммуникационных технологий  для подготовки и проведения 21 Спартакиады  Игры Манчаары</t>
  </si>
  <si>
    <t>Совершенствование системы мониторинга и оценки качества управления муниципальными финансами (финансового менеджмента)</t>
  </si>
  <si>
    <t>строительство силосных траншей</t>
  </si>
  <si>
    <t>объем заготовки силоса</t>
  </si>
  <si>
    <t>тн</t>
  </si>
  <si>
    <t>Количество проведенных молодежных фестивалей мероприятий, конкурсов, смотров, бесед спартакиад, ысыахов</t>
  </si>
  <si>
    <t>Количество мероприятий по гражданско-патриотическому воспитанию молодежи</t>
  </si>
  <si>
    <t xml:space="preserve"> Подпрограмма "Молодежные общественные инициативы"</t>
  </si>
  <si>
    <t xml:space="preserve"> Профориентация подростков и молодежи</t>
  </si>
  <si>
    <t xml:space="preserve"> Трудоустройство молодежи и временная занятость подростков</t>
  </si>
  <si>
    <t>программа развития водоснабжения</t>
  </si>
  <si>
    <t>программа развития водоотведения</t>
  </si>
  <si>
    <t>Поддержка молодых семей</t>
  </si>
  <si>
    <t>Проведение мероприятий по продвижению, популяризации игр Манчаары в  Горном улусе</t>
  </si>
  <si>
    <t>Разработка  методики обоснования (внешнего аудита) объема бюджетных расходов на реализацию муниципальных программ</t>
  </si>
  <si>
    <t>Цель- организация и совершенствование системы управления муниципальной собственностью, земельными ресурсами</t>
  </si>
  <si>
    <t>Цель - совершенствование системы муниципального управления на основе использования информационно-коммуникационных технологий, обеспечение для населения равного доступа к информационным ресурсам на уровне федеральных стандартов доступности</t>
  </si>
  <si>
    <t>Цель - формирование высококвалифцированного кадрового состава муниципальной службы, обеспечивающего повышение результативности деятельности муниципальных служащих</t>
  </si>
  <si>
    <t>Цель - улучшение условий охраны труда в целях снижения производственного травматизма и профессиональной заболеваемости работников организаций расположенных на территории МР "Горный улус"</t>
  </si>
  <si>
    <t>Цель-создание условий для эффективного и ответственного управления муниципальными финансами,повышение устойчивости консолидированного бюджета МР "Горный улус"   на 2018-2022годы , определение условий долгосрочного социально-экономического развития</t>
  </si>
  <si>
    <t>Цель- улучшение экологической  ситуации в улусе</t>
  </si>
  <si>
    <t>Развитие образования МР "Горный улус" на 2012-2022 годы</t>
  </si>
  <si>
    <t>Всего</t>
  </si>
  <si>
    <t>Стратегическое направление "Управление программой"</t>
  </si>
  <si>
    <t>Повышение квалиф. и переподготовка кадров работников учр.культуры</t>
  </si>
  <si>
    <t>Обеспечение пожарной безопасности на объектах культуры</t>
  </si>
  <si>
    <t xml:space="preserve">Укрепление МТБ </t>
  </si>
  <si>
    <t>Субсидия на развитие военно-патриотических клубов и объединений (распоряжение №81/01-01 от 7 июня 2019 г.)</t>
  </si>
  <si>
    <t>Грантовая деятельность</t>
  </si>
  <si>
    <t>Предоставление мун.услуг КДУ</t>
  </si>
  <si>
    <t>Целевые субсидии на иные цели (кроме строит-ва и кап.ремонта)</t>
  </si>
  <si>
    <t>Строительство</t>
  </si>
  <si>
    <t>Капитальный ремонт</t>
  </si>
  <si>
    <t xml:space="preserve"> Стратегическое направление "Развитие  библ.дела в Горном улусе"</t>
  </si>
  <si>
    <t>Предоставление мун.услуг библ.учреждениями культуры</t>
  </si>
  <si>
    <t>Целевые субсидии на иные цели (кроме строительства и кап.ремонта)</t>
  </si>
  <si>
    <t>Капитальный ремонт зданий библиотек</t>
  </si>
  <si>
    <t>Приобретение автотранспорта</t>
  </si>
  <si>
    <t>Издание книг</t>
  </si>
  <si>
    <t>Комплектование библиотечного фонда</t>
  </si>
  <si>
    <t>Предоставление мун.услуг муз.учреждениями культуры</t>
  </si>
  <si>
    <t>Стратегическое направление  "Развитие музейного дела в Горном улусе"</t>
  </si>
  <si>
    <t>млн. руб</t>
  </si>
  <si>
    <t>Количество субъектов малого и среднего предпринимательства получивших имущественную поддержку</t>
  </si>
  <si>
    <t>Количество субъектов малого и среднего предпринимательства получивших информационно-консультационную поддержку</t>
  </si>
  <si>
    <t>Доля молодых предпринимателей получивших муниципальную (государственную) поддержку от общего числа получателей поддержки</t>
  </si>
  <si>
    <t>Объем оказанных туристских услуг</t>
  </si>
  <si>
    <t>тыс. руб</t>
  </si>
  <si>
    <t>Количество поддержанных туристских комплексов и маршрутов</t>
  </si>
  <si>
    <t>Количество размещенных человек в КСР</t>
  </si>
  <si>
    <t>Протяженность построенных автодорог муниципального значения</t>
  </si>
  <si>
    <t>Газификация населенных пунктов муниципального района «Горный улус» на 2019 – 2023 годы</t>
  </si>
  <si>
    <t>Количество котельных в населенных пунктах улуса переведенных на газовое топливо</t>
  </si>
  <si>
    <t>Количество газифицированных населенных пунктов улуса</t>
  </si>
  <si>
    <t>Доля объемов ЭЭ, расчеты за которую осуществляются с использованием приборов учета, в общем объеме ЭЭ, потребляемой на территории МО</t>
  </si>
  <si>
    <t>Доля объемов ТЭ, расчеты за которую осуществляются с использованием приборов учета , в общем объеме ТЭ, потребляемой на территории МО</t>
  </si>
  <si>
    <t>Доля объемов  Холодной воды, расчеты за которую осуществляются с использованием приборов учета в общем объеме воды, потребляемой на территории МО</t>
  </si>
  <si>
    <t>Доля объемов  Горячей воды, расчеты за которую осуществляются с использованием приборов учета в общем объеме воды, потребляемой на территории МО</t>
  </si>
  <si>
    <t>Доля объемов природного газа, расчеты за который осуществляются с использованием приборов учета  в общем объеме природного газа, потребляемого на территории МО</t>
  </si>
  <si>
    <t>Уд.расход ЭЭ  на снабжение органов местного самоуправления и муниципальных учреждений ( в расчете на 1 кв. метр общей площади)</t>
  </si>
  <si>
    <t>кВтч\кв.м</t>
  </si>
  <si>
    <t>Уд.расход ТЭ  на снабжение органов местного самоуправления и муниципальных учреждений ( в расчете на 1 кв. метр общей площади)</t>
  </si>
  <si>
    <t>Гкал/кв.м</t>
  </si>
  <si>
    <t>Уд.расход Холодной воды  на снабжение органов местного самоуправления и муниципальных учреждений ( в расчете на 1 человека)</t>
  </si>
  <si>
    <t>куб.м/  чел.</t>
  </si>
  <si>
    <t>Уд.расход Горячей воды  на снабжение органов местного самоуправления и муниципальных учреждений ( в расчете на 1 человека)</t>
  </si>
  <si>
    <t>Уд.расход Природного газа  на снабжение органов местного самоуправления и муниципальных учреждений ( в расчете на 1 человека)</t>
  </si>
  <si>
    <t>Удельный расход ТЭ в МКД (в расчете на 1кв.метр общей площади)</t>
  </si>
  <si>
    <t>Удельный расход Холодной воды в МКД (в расчете на 1 жителя)</t>
  </si>
  <si>
    <t>Удельный расход Горячей  воды в МКД (в расчете на 1 жителя)</t>
  </si>
  <si>
    <t>Удельный расход ЭЭ в МКД (в расчете на 1 кв.метр общей площади)</t>
  </si>
  <si>
    <t>Удельный расход топлива на выработку тепловой энергии на котельных</t>
  </si>
  <si>
    <t>г у.т./  Гкал</t>
  </si>
  <si>
    <t>Удельный расход ЭЭ, используемой при передаче тепловой энергии в системах теплоснабжения</t>
  </si>
  <si>
    <t>кВтч/куб.м</t>
  </si>
  <si>
    <t>Доля потерь тепловой энергии при ее передаче в общем объеме переданной тепловой энергии</t>
  </si>
  <si>
    <t>Удельный расход электрической энергии в системах уличного освещения (на 1кв. Метр освещаемой площади с уровнем освещенности, соответствующим установленным нормативам)</t>
  </si>
  <si>
    <t>кВч/кв.м</t>
  </si>
  <si>
    <t>Отношение экономии энергетических ресурсов и воды в стоимостном выражении, достижение которой планируется в результате реализации энергосервисных договоров (контрактов), заключенных органами местного самоуправления и муниципальными учреждениями к общему объему финансирования муниципальных программ</t>
  </si>
  <si>
    <t>Руководство и управление в сфере культуры</t>
  </si>
  <si>
    <t>Укрепление ресурсов учреждений культуры</t>
  </si>
  <si>
    <t>Стратегическое направление "Развитие народного творчества и культурно - досуговой деятельности Горного улуса"</t>
  </si>
  <si>
    <t>Строительство и кап.ремонт объектов КДУ</t>
  </si>
  <si>
    <t>Модернизация КДУ, укрепление МТБ</t>
  </si>
  <si>
    <t>Мероприятия</t>
  </si>
  <si>
    <t>Проведение улусного нац.праздника Ысыах</t>
  </si>
  <si>
    <t>Республиканские, улусные мероприятия</t>
  </si>
  <si>
    <t>Обеспечение пожарной безопасности библиотек ЦБС</t>
  </si>
  <si>
    <t>Укрепление материально-технической базы библиотек ЦБС</t>
  </si>
  <si>
    <t>Развитие библ.фонда и библиотечного обслуживания</t>
  </si>
  <si>
    <t>Укрепление музейного фонда</t>
  </si>
  <si>
    <t>Модернизация музеев</t>
  </si>
  <si>
    <t>Повышение квалификации, проведение семинаров, совещаний ,круглых столов , конференций</t>
  </si>
  <si>
    <t>№</t>
  </si>
  <si>
    <t>Количество выпуска теле-радио передач по вопросам социально-психологической поддержки и по молодежной политике</t>
  </si>
  <si>
    <t>Число зарегистрированных преступлений</t>
  </si>
  <si>
    <t>Число зарегистрированных преступлений на 10 тысяч человек населения</t>
  </si>
  <si>
    <t>Снижение недоимки по налоговым платежам в консолидированный бюджет муниципального района на начало года от уровня прошлого года</t>
  </si>
  <si>
    <t>Количество домовладений, получивших возможность подключиться к сетям газоснабжения, за отчетный период</t>
  </si>
  <si>
    <t>Протяженность построенных внутрипоселковых газовых сетей</t>
  </si>
  <si>
    <t>Количество разработанных схем газоснабжения населенных пунктов улуса</t>
  </si>
  <si>
    <t>Информация</t>
  </si>
  <si>
    <t>N</t>
  </si>
  <si>
    <t>Наименование муниципальной программы (в разрезе мероприятий)</t>
  </si>
  <si>
    <t>Уточненный годовой план в соответствии с показателями сводной бюджетной росписи</t>
  </si>
  <si>
    <t>Исполнено за отчетный период</t>
  </si>
  <si>
    <t>% исполнения</t>
  </si>
  <si>
    <t>остаток</t>
  </si>
  <si>
    <t>Примечание (указать причины неисполнения)</t>
  </si>
  <si>
    <t>Ответственный за составление формы</t>
  </si>
  <si>
    <t>1.</t>
  </si>
  <si>
    <t>ОСП (Васильева К.М.)</t>
  </si>
  <si>
    <t xml:space="preserve"> </t>
  </si>
  <si>
    <t>Проведение улусной спартакиады ветеранов,посвященный 100-летию Героя Советского Союза В.Д.Лонгинова</t>
  </si>
  <si>
    <t>Участие региональной спартакиады ветеранов Вилюйских районов</t>
  </si>
  <si>
    <t>Улусный форум Совета ветеранов,посвященный 125-летия Маганинского наслега</t>
  </si>
  <si>
    <t xml:space="preserve"> Улучшение демографической ситуации</t>
  </si>
  <si>
    <t>Торжественная выписка из родильного отделения ЦРБ в День семьи и День Матери</t>
  </si>
  <si>
    <t>Чествование и материальная поддержка семей, родивших 4 и 6 ребенка, с вручением сертификата на приобретение теленка</t>
  </si>
  <si>
    <t>Женский день 8 Марта:</t>
  </si>
  <si>
    <t xml:space="preserve">Проведение улусного конкурса  "Далбар Хотун" </t>
  </si>
  <si>
    <t>Конкурс среди молодых матерей "Кэрэ кэпсээннээх кэрэ ацардар"</t>
  </si>
  <si>
    <t>День сына, день отца:</t>
  </si>
  <si>
    <t>Открытый конкурс "Кыыс а5атынаан" с.Орто-Сурт</t>
  </si>
  <si>
    <t>Соревнование "А5а уолунаан" среди микрорайонов с.Бердигестях</t>
  </si>
  <si>
    <t>Республиканский конкурс "Сельская семья" в рамках всероссийского фестиваля "Семья года"</t>
  </si>
  <si>
    <t>Участие в республиканском конкурсе  "Многодетная семья" в рамках вероссийского фестиваля "Семья года"</t>
  </si>
  <si>
    <t xml:space="preserve">Чествование семей, отмечающих золотую свадьбу </t>
  </si>
  <si>
    <t>Вручение сертификатов получателям субсидии ИЖС по линии МСХ и по программе "Обеспечение жильем молодых семей"</t>
  </si>
  <si>
    <t>Мероприятия, посвященный ко Дню защиты детей</t>
  </si>
  <si>
    <t>Интерактивный конкурс "Дьиэ кэргэн туьулгэтэ" во время национального праздника Ыhыах</t>
  </si>
  <si>
    <t>Республиканское мероприятие 8 июля, Дню матери в РФ, Семья года</t>
  </si>
  <si>
    <t>Вручение номинации "Лучшая семья" по итогам конкурса "Лучший из лучших"</t>
  </si>
  <si>
    <t>Профилактика семейного  неблагополучия и социального сиротства детей</t>
  </si>
  <si>
    <t>Поддержка клубов по реабилитации  женщин, приемных родителей. Вовлечение родителей и детей в различные виды семейной деятельности. Профилактика социального сиротства</t>
  </si>
  <si>
    <t>Поддержка и создание условий для пропаганды семейной политики и ЗОЖ</t>
  </si>
  <si>
    <t>Проведение улусных смотра-конкурсов, фестивалей, спартакиад. Реализация проектов по семейной политике. Поддержка женсоветов и Совета отцов</t>
  </si>
  <si>
    <t>Конкурс "Лучший спортивный уголок"</t>
  </si>
  <si>
    <t>Поддержка работы женсоветов</t>
  </si>
  <si>
    <t>Участие женсовета в республиканских торжественных мероприятиях</t>
  </si>
  <si>
    <t>Форум женщин "Весна перемен"</t>
  </si>
  <si>
    <t>Участие в республиканском семинаре "Школа актива" и конкурсе "Автоледи-2018" с.Намцы Намского улуса</t>
  </si>
  <si>
    <t>Мероприятие среди женских общественных организаций, посвященное Дню матери, "Счастье своими руками"</t>
  </si>
  <si>
    <t>Поощрение активных женщин, юбиляров-матерей</t>
  </si>
  <si>
    <t>Поддержка работы Совета отцов</t>
  </si>
  <si>
    <t>Участие Совета отцов в республиканских мероприятиях</t>
  </si>
  <si>
    <t>Соревнование "Куулэй"</t>
  </si>
  <si>
    <t>Конкурс среди Совета отцов "Булчут супсулгэнэ"</t>
  </si>
  <si>
    <t>Знак Лиги отцов РС(Я) "За вклад в повышении статуса отца и укрепление института семьи в РС(Я)"</t>
  </si>
  <si>
    <t xml:space="preserve">Поощрение активных отцов </t>
  </si>
  <si>
    <t>Назначение  денежного вознаграждения  за организацию и проведение безалкогольных юбилеев гражданам,  отмечающим 50-летний и 75-летний юбилей</t>
  </si>
  <si>
    <t xml:space="preserve"> Повышение качества жизни малоимущих семей</t>
  </si>
  <si>
    <t>Благотворительная акция "Детям от всей души"</t>
  </si>
  <si>
    <t xml:space="preserve">Благотворительная елка для детей с ОВЗ </t>
  </si>
  <si>
    <t xml:space="preserve">Форум семей </t>
  </si>
  <si>
    <t>Поддержка социально ориентированных некоммерческих организаций и территориально общественных самоуправлений в  Горном улусе на 2018-2022 годы</t>
  </si>
  <si>
    <t>ОСП( Семенов С.О.)</t>
  </si>
  <si>
    <t>Поддержка ТОС и микрорайонов</t>
  </si>
  <si>
    <t xml:space="preserve"> Предоставление субсидий и грантов на поддержку СО НКО</t>
  </si>
  <si>
    <t>Предоставление субсидий на поддержку СО НКО, деятельность которых направлена на реализацию социальных проектов, по итогам деловой игры</t>
  </si>
  <si>
    <t xml:space="preserve"> Создание условий для развития сферы социальных услуг, предоставляемых СО НКО населению</t>
  </si>
  <si>
    <t>Оказание организационной, методической, финансовой помощи СО НКО  и ТОС по государственной регистрации на получение статуса юридического лица путем проведения семинаров с привлечением специалистов</t>
  </si>
  <si>
    <t xml:space="preserve">Проведение круглых столов, конференций, методических семинаров, форума с целью повышения квалификации кадров СО НКО и ТОС </t>
  </si>
  <si>
    <t>Проведение конференций, семинаров по вопросам деятельности НКО, обмен опытом и распространение лучших практик. Участие в гражданском форуме</t>
  </si>
  <si>
    <t>ОСП(Хихлун А.Г.)</t>
  </si>
  <si>
    <t xml:space="preserve"> Улусный конкурс «Лучший класс года» </t>
  </si>
  <si>
    <t>Организация проведения благотворительной акции Главы     МР «Горный улус»</t>
  </si>
  <si>
    <t>Обеспечение безбарьерной среды жизнедеятельности инвалидов в Горном районе на 2018-2022 годы</t>
  </si>
  <si>
    <t>ОСП (Хихлун М.Г.)</t>
  </si>
  <si>
    <t>Поддержка обществненных организаций инвалидов</t>
  </si>
  <si>
    <t>ОСП А (Туралысова С.И.)</t>
  </si>
  <si>
    <t xml:space="preserve"> Подпрограмма "Развитие инфраструктуры социальных служб для молодежи</t>
  </si>
  <si>
    <t>Трудоустройство молодежи и временная занятость подростков</t>
  </si>
  <si>
    <t>Профориентация подростков и молодежи</t>
  </si>
  <si>
    <t>Подпрограмма "Молодежные общественные инициативы"</t>
  </si>
  <si>
    <t>Республиканская эстафета Знамя Победы</t>
  </si>
  <si>
    <t xml:space="preserve"> Поддержка молодых семей</t>
  </si>
  <si>
    <t>Межулусная деловая игра "Сила молодежи в объединении"</t>
  </si>
  <si>
    <t>Улусный образовательный форум для добровольческих и молодежных общественных организаций улуса (развитие добровольческого движения)</t>
  </si>
  <si>
    <t>МКУ УФКиС (Александров А.А.)</t>
  </si>
  <si>
    <t>по плану</t>
  </si>
  <si>
    <t>Управление муниципальной собственностью МР «Горный улус» на 2018-2022 гг.</t>
  </si>
  <si>
    <t>МКУ УИЗО  (Чемезова М.П.)</t>
  </si>
  <si>
    <t>Руководство и управление в сфере установленных функций</t>
  </si>
  <si>
    <t>Страхование объектов,находящихся в казне</t>
  </si>
  <si>
    <t>Формирование муниципальной сосбтвенности на землю и проведение кадастровых работ</t>
  </si>
  <si>
    <t>Формирование муниципальной собтвенности на землю ( кадастровые работы)</t>
  </si>
  <si>
    <t>Обеспечение рационального использования территорий поселений и картографическими материалами</t>
  </si>
  <si>
    <t>Комплексные кадастровые работы</t>
  </si>
  <si>
    <t>Организация учета использования земель(материально-техническое обеспечение)</t>
  </si>
  <si>
    <t>ОПО (Васильева С.М.)</t>
  </si>
  <si>
    <t>Выпуск и изготовление рекламно-информационных материалов:  плакаты баннеры</t>
  </si>
  <si>
    <t xml:space="preserve">Изготовление баннера на экологическую тематику </t>
  </si>
  <si>
    <t>Изготовление информационного предупреждающего плаката</t>
  </si>
  <si>
    <t xml:space="preserve">Иготовление баннера "Сохраним природу родного края" </t>
  </si>
  <si>
    <t>Изготовление видеоролика "Итоги года"</t>
  </si>
  <si>
    <t xml:space="preserve">Спецвыпуск- газета  "Улэ Кууьэ" </t>
  </si>
  <si>
    <t>Организация и проведение экологической акции «Природа и мы»:</t>
  </si>
  <si>
    <t>Улусное соревнование «Байанай» (март)</t>
  </si>
  <si>
    <t>Всемирный день водных ресурсов (День воды) март</t>
  </si>
  <si>
    <t>Международный день птиц (март-апрель)</t>
  </si>
  <si>
    <t>День экологических знаний  (апрель)</t>
  </si>
  <si>
    <t>Марш парков (апрель)</t>
  </si>
  <si>
    <t xml:space="preserve">Всемирный день Земли (апрель) </t>
  </si>
  <si>
    <t>День экологического образования (май)</t>
  </si>
  <si>
    <t>День подснежника в Якутии (май)</t>
  </si>
  <si>
    <t>День реки Лена, призы (июль)</t>
  </si>
  <si>
    <t>День Экологии (июнь)</t>
  </si>
  <si>
    <t>День Сардааны в Якутии, призы (июнь)</t>
  </si>
  <si>
    <t>Всемирная акция «Очистим планету от мусора» субботники (сентябрь-октябрь)</t>
  </si>
  <si>
    <t>Организация Экологического лагеря в РР «Харыйалахский» (август)</t>
  </si>
  <si>
    <t xml:space="preserve">Улусный конкурс "Чистый Гектар" среди МО, предприятий и учреждений, призы (октябрь) </t>
  </si>
  <si>
    <t>Развитие информационного общества на территории муниципального района «Горный улус» на 2018-2022 годы"</t>
  </si>
  <si>
    <t>ОПО(Санникова А.Н.)</t>
  </si>
  <si>
    <t>Изготовление информационных стендов</t>
  </si>
  <si>
    <t>Изготовление информационных баннеров</t>
  </si>
  <si>
    <t>Оплата фотоуслуги</t>
  </si>
  <si>
    <t>Расходы на обеспечение деятельности (оказание услуг) муниципальных учреждений</t>
  </si>
  <si>
    <t>Предоставление микрозаймов СМП</t>
  </si>
  <si>
    <t xml:space="preserve"> Руководство и управление в сфере культуры</t>
  </si>
  <si>
    <t xml:space="preserve"> Укрепление ресурсов учреждений культуры</t>
  </si>
  <si>
    <t xml:space="preserve"> Стратегическое направление "Развитие народного творчества и культурно - досуговой деятельности Горного улуса"</t>
  </si>
  <si>
    <t xml:space="preserve"> Предоставление мун.услуг КДУ</t>
  </si>
  <si>
    <t xml:space="preserve"> Строительство и кап.ремонт объектов КДУ</t>
  </si>
  <si>
    <t xml:space="preserve"> Модернизация КДУ, укрепление МТБ</t>
  </si>
  <si>
    <t xml:space="preserve"> Республиканские, улусные мероприятия</t>
  </si>
  <si>
    <t xml:space="preserve"> Мероприятия</t>
  </si>
  <si>
    <t xml:space="preserve">  Проведение улусного нац.праздника Ысыах</t>
  </si>
  <si>
    <t xml:space="preserve"> Предоставление мун.услуг библ.учреждениями культуры</t>
  </si>
  <si>
    <t xml:space="preserve"> Модернизация библиотек</t>
  </si>
  <si>
    <t xml:space="preserve"> Обеспечение пожарной безопасности библиотек ЦБС</t>
  </si>
  <si>
    <t xml:space="preserve"> Укрепление материально-технической базы библиотек ЦБС</t>
  </si>
  <si>
    <t xml:space="preserve"> Развитие библ.фонда и библиотечного обслуживания</t>
  </si>
  <si>
    <t xml:space="preserve"> Республиканские, улусные мероприятия.</t>
  </si>
  <si>
    <t xml:space="preserve"> Модернизация музеев</t>
  </si>
  <si>
    <t xml:space="preserve"> Укрепление музейного фонда</t>
  </si>
  <si>
    <t xml:space="preserve"> Мероприятия улусные и республиканские</t>
  </si>
  <si>
    <t>МКУ УСХ (Дьяконов В.Н.)</t>
  </si>
  <si>
    <t>Охрана труда в Горном улусе на 2018-2022 годы</t>
  </si>
  <si>
    <t>Служба управления персоналом (Стручкова С.С.)</t>
  </si>
  <si>
    <t>Повышение квалификации,проведение семинаров,совещаний,круглых столов,конференций</t>
  </si>
  <si>
    <t>Профилактика правонарушений на территории муниципального района "Горный улус" на период 2018-2022 годы</t>
  </si>
  <si>
    <t>ФКУ(Тарасова К.В.)</t>
  </si>
  <si>
    <t>Совершенствование системы мониторинга и оценка качества управления муниципальными финансами (финансового менеджмента)</t>
  </si>
  <si>
    <t>УЭР (Филиппова С.П.)</t>
  </si>
  <si>
    <t>21</t>
  </si>
  <si>
    <t>МКУ УО (Сметанина В.И.)</t>
  </si>
  <si>
    <t>ВСЕГО</t>
  </si>
  <si>
    <t>Развитие сельскохозяйственного производства МР "Горный улус"на 2018-2022годы</t>
  </si>
  <si>
    <t>Развитие кадрового потенциала муниципальной службы в Горном улусе на 2018-2022 годы</t>
  </si>
  <si>
    <t>Развитие сельскохозяйственного производства МР "Горный улус"на период 2018-2022годы</t>
  </si>
  <si>
    <t>Мероприятия направленные на развитие малого предпринимательства (конференции, семинары, мастер-классы, круглые столы, совещания и др.)</t>
  </si>
  <si>
    <t>Организация и проведение республиканских, улусных семинаров и конференций по вопросам профилактической работы с молодежью</t>
  </si>
  <si>
    <t>Организация и участие в улусных, республиканских конкурсов, смотров, фестивалей, соревнований, акций за духовность и трезвость, за ЗОЖ</t>
  </si>
  <si>
    <t xml:space="preserve">Разработка и издание иллюстрированных методических пособий по вопросам профилактики зависимостей, формирования культуры здорового образа </t>
  </si>
  <si>
    <t>Внедрение молодежных видов фитнеса для красоты и здоровья у: кроссфит, фитнес с коляской, воркаут</t>
  </si>
  <si>
    <t>учреждение ежегодной единовременной приемии Главы МР «Горный улус» лучшим молодым специалистам улуса</t>
  </si>
  <si>
    <t>Развитие движения КВН</t>
  </si>
  <si>
    <t>Проведение энергетических обследований зданий, строений, сооружений, принадлежащим на праве собственности или ином законном основании организациям с участием муниципального образования (далее-здания, строения, сооружения), сбор и анализ информации об энергопотреблении</t>
  </si>
  <si>
    <t>Мероприятия ко Дню Победы-9 мая .День пожилых.</t>
  </si>
  <si>
    <t>Развития предпринимательства и туризма в МР «Горный улус» на 2018-2022 годы»</t>
  </si>
  <si>
    <t>Оснащение актового зала оборудованием конференцзала</t>
  </si>
  <si>
    <t>Формирование, учет и  мониторинг муниципальной собственности</t>
  </si>
  <si>
    <t>ОПО (Скрыбыкина О.Н.)</t>
  </si>
  <si>
    <t xml:space="preserve">Информирование и пропаганда в формате семинаров, совещаний и смотров-конкурсов по вопросам охраны труда
Организация и проведение  конференций, круглых столов, посвященных Всемирному дню охраны труда
</t>
  </si>
  <si>
    <t>Чествование и материальная поддержка семей, родивших двойню</t>
  </si>
  <si>
    <t>Организация и проведение улусных, республиканских мероприятий посвященных укреплению института семьи. Информационное освещение в СМИ и т.д.</t>
  </si>
  <si>
    <t>Подпрограмма "Развитие инфраструктуры социальных служб для молодежи"</t>
  </si>
  <si>
    <t>Строительство конебаз. Материально-техническое обеспечение</t>
  </si>
  <si>
    <t>Предоставление социальных выплат на строительство (приобретение) жилья, а также субсидируемых кредитов сельхозтоваропроизводителям на жилищное строительство</t>
  </si>
  <si>
    <t>Организация и проведение соревнований по национальным видам спорта в Горном улусе</t>
  </si>
  <si>
    <t>МКУ УКиДР (Кесарева Т.Н.)</t>
  </si>
  <si>
    <t>МБУ ЦПП (Максимова М.В.)</t>
  </si>
  <si>
    <t>МКУ ДЕЗ (Протопопов А.В.)</t>
  </si>
  <si>
    <t>Обустройство объекта размещения отходов с. Бердигестях</t>
  </si>
  <si>
    <t>Программа развития водоснабжения</t>
  </si>
  <si>
    <t>Программа развития водоотведения</t>
  </si>
  <si>
    <t>1.1</t>
  </si>
  <si>
    <t>Формирование,учет и мониторинг муниципальной собственности</t>
  </si>
  <si>
    <t>формирование муниципальной собственности на объекты капитального строительства (техническая инвентаризация)</t>
  </si>
  <si>
    <t xml:space="preserve">Проведены акты обследования (сноса) на 13 объектов </t>
  </si>
  <si>
    <t>Оценка объектов казны, подлежащих реализации, оценка земельных участков</t>
  </si>
  <si>
    <t>План выполнен, застрахован МКД по ул. Парфенова, 10</t>
  </si>
  <si>
    <t>2</t>
  </si>
  <si>
    <t>2.1</t>
  </si>
  <si>
    <t>Проведены кадастровые работы на земельные участки</t>
  </si>
  <si>
    <t>2.2</t>
  </si>
  <si>
    <t>Кадастровые работы не выполнены, ИП Лыткин</t>
  </si>
  <si>
    <t>Софинансирование ККР</t>
  </si>
  <si>
    <t>2.3</t>
  </si>
  <si>
    <t>План выполнен, приобретены 2 ноутбука, моноблок</t>
  </si>
  <si>
    <t>План выполнен, оплачена абонентская плата за Программный продукт "БАРС", приобретен программный продукт ГИС "Панорама"</t>
  </si>
  <si>
    <t>Закупка товаров, работ и услуг для обеспечения государственных (муниципальных) нужд</t>
  </si>
  <si>
    <t>Конкурс Общественных советов КДН</t>
  </si>
  <si>
    <t>Конкурс среди несовершеннолетних "Поколение NEXT"</t>
  </si>
  <si>
    <t>Изготовление информационных буклетов по БДД, пропаганде ЗОЖ</t>
  </si>
  <si>
    <t>Изготовление буклетов по БДД, пропаганде ЗОЖ</t>
  </si>
  <si>
    <t>Специальная оценка условий труда</t>
  </si>
  <si>
    <t>Конкурс среди команд молодых специалистов Профи</t>
  </si>
  <si>
    <t>Улусный конкурс Команда главы посвященного Году Консолидации РС (Я)</t>
  </si>
  <si>
    <t>Поддержка некоммерческих молодежных организаций</t>
  </si>
  <si>
    <t>Улусный конкурс Команда Главы</t>
  </si>
  <si>
    <t>Конкурс среди команд молодых специалистов</t>
  </si>
  <si>
    <t>Субсидии (гранты в форме субсидий) на финансовое обеспечение затрат в связи с производством спортивных инвентарей для подготовки спортсменов</t>
  </si>
  <si>
    <t>Семейный волейбол с.Магарас. Конкурс теруччу</t>
  </si>
  <si>
    <t>Освещение в СМИ</t>
  </si>
  <si>
    <t>Улусный  конкурс фотовыставки среди семей к Году Детства в Горном улусе</t>
  </si>
  <si>
    <t>Участие в республиканском конкурсе  "Молодая семья семья" в рамках вероссийского фестиваля "Семья года"</t>
  </si>
  <si>
    <t>На стадии прохождения гос.экспертизы</t>
  </si>
  <si>
    <t xml:space="preserve">Освоение в текущем году (по заключенному дополнительному соглашению срок завершения работ перенесен на 2020 год). </t>
  </si>
  <si>
    <t>Проведение конкурса «Команда главы» для формирования кадрового резерва:</t>
  </si>
  <si>
    <t>Отчет финансирования муниципальных программ за 2019года по МР "Горный улус"</t>
  </si>
  <si>
    <t>2019год</t>
  </si>
  <si>
    <t>об исполнении муниципальных программ МР "Горный улус" по состоянию на 01.01.2020г.</t>
  </si>
  <si>
    <t>выполнены работы по строительству мостового перехода «Оллоону» на автомобильной дороге «Кептин-Тонгулах», а также проведены работы по ремонту 3-х мостовых переходов и искусственных сооружений на муниципальной автодороге «Бердигестях - Ерт»</t>
  </si>
  <si>
    <t>выполнены работы по ремонту муниципальной автодороги «Орто-Сурт – Кептин», протяженностью 1,5 км.</t>
  </si>
  <si>
    <t>Выполнены работы по рубке и расчистке леса для видимости дороги на нескольких участках автодорог «Орто-Сурт – Кептин», «Бердигестях – Ерт». На остаток средств заключен договор на содержание муниципальных автодорог за декабрь месяц с ООО «Амгор», экономия средств по итогам года составляет 117 066,24 рублей.</t>
  </si>
  <si>
    <t>Количество подписчиков на газету «Улэ кууьэ»</t>
  </si>
  <si>
    <t>п.2.1.2. стоимость кассового аппарата ниже заявленной суммы</t>
  </si>
  <si>
    <t>- п.1.1. остаток ФОТ, остаток проезда в отпуск</t>
  </si>
  <si>
    <t xml:space="preserve"> Софинансирование с МО 355000 рб</t>
  </si>
  <si>
    <t>страхование пассажиров на микроавтобусе Т-Хайс запланировано на 2020 год, в связи с постановкой авто на учет 17.12.2019 года</t>
  </si>
  <si>
    <t>Договорная сумма ниже запланированных расходов</t>
  </si>
  <si>
    <t>Договорная сумма превысила запланированные расходы, приобретен не весь инвентарь, осталось приобрести помост мас-рестлинга</t>
  </si>
  <si>
    <t>Отбор получателей субсидии на возмещение части затрат на строительство коровников с мощностью не менее 5 скотомест дойного стада (коров) в 2019 году прошли 10 хозяйств: Поголовье КРС 95 голов,в т.ч. 56 коров . Протокол №7 от 08.04.2019 г. 130 000 перенаправили на регулирование численности хищников. Остаток 10 262,19 рублей  возвращено в бюджет района.</t>
  </si>
  <si>
    <t>Отбор получателей субсидии на возмещение части затрат по производству кобыльего молока в 2019 году прошли 2 хозяйства: Протокол №6 от 08.04.2019 г. Остаток 64 000 рублей  возвращено в бюджет района.</t>
  </si>
  <si>
    <t>Отбор получателей субсидии на финансовое обеспечение части затрат на строительство мясоперерабатывающего цеха в 2019 году прошел 1 хозяйство: Протокол №8 от 08.04.2019 г. 281 914рублей  возврат субвенции за 2018 год по оленеводству. Остаток 218 085,71 рублей  возвращено в бюджет района.</t>
  </si>
  <si>
    <t>Отбор получателей субсидии на возмещение части затрат на регулирование численност волков и медведей прошел 3 отбора: 1 отбор прошли 9 хозяйств (21 волк и 1 медведь) - 220 000 рублей( протокол №9 от 10.06.2019), 2 отбор прошли 8 хозяйств ( 12 волка и 1 медведь) - 130 000 рублей (протокол №13 от 31.07.2019), 3 отбор прошли 11 хозяйств (4 волка и 9 медведей) -130 000 рублей. (Протокол №15 от 09.12.2019 г).</t>
  </si>
  <si>
    <t>Проведение мероприятий по противодействию коррупции (изготовление брошюр)</t>
  </si>
  <si>
    <t>По фактическим затратам</t>
  </si>
  <si>
    <t xml:space="preserve">По фактическим затратам </t>
  </si>
  <si>
    <t xml:space="preserve">            Комплексная спартакиада учреждений "Манчаары сиэннэрэ"</t>
  </si>
  <si>
    <t xml:space="preserve">            Развитие системы поддержки талантливых и инициативных детей</t>
  </si>
  <si>
    <t xml:space="preserve">            Улусный конкурс "Горный Кэскиллэрэ"</t>
  </si>
  <si>
    <t xml:space="preserve">       Оснащение спорт.инвентарем и спорт.оборудованием</t>
  </si>
  <si>
    <t xml:space="preserve">       Улусный конкурс инновационных дополнительных, общеразвивающих программ естественного направления</t>
  </si>
  <si>
    <t xml:space="preserve">      Улусный конкурс социальных проектов на Грант Главы улуса</t>
  </si>
  <si>
    <t xml:space="preserve">      Улусный конкурс "Юный новатор"</t>
  </si>
  <si>
    <t xml:space="preserve">      Улусный конкурс "Джуниор Скилс"</t>
  </si>
  <si>
    <t xml:space="preserve">      Поощрение обучающихся достигших наилучших результатов в учебе, спорте и искусстве по итогам года</t>
  </si>
  <si>
    <t xml:space="preserve">      Детский сад на 98 мест в с.Бердигестях Горного улуса</t>
  </si>
  <si>
    <t xml:space="preserve">         Устройство охлаждающих труб д/с Крепыш) остаток на 01.01.2019 г. </t>
  </si>
  <si>
    <t xml:space="preserve">         Капитальный ремонт детского сада Крепыш</t>
  </si>
  <si>
    <t xml:space="preserve">         Софинансирование реализации на территории Республики Саха (Якутия) проектов развития общественной инфраструктуры, основанных на местных инициативах </t>
  </si>
  <si>
    <t xml:space="preserve">       Замена кровли МБДОУ "Мичээр" с.Кептин"</t>
  </si>
  <si>
    <t xml:space="preserve">       Частичная замена кровли МБОУ БСОШ с УИОП</t>
  </si>
  <si>
    <t xml:space="preserve">        Замена покрытия игровой площадки спортзала МБОУ Магарасская СОШ</t>
  </si>
  <si>
    <t xml:space="preserve">         Ремонт канализационной сети МБОУ Кировская СОШ</t>
  </si>
  <si>
    <t xml:space="preserve">         Детский сад на 140 мест</t>
  </si>
  <si>
    <t xml:space="preserve">        Детский сад на 50 мест с. Дикимдя </t>
  </si>
  <si>
    <t xml:space="preserve">        Детский эстетический центр, остаток на 01.01.2019 г.</t>
  </si>
  <si>
    <t xml:space="preserve">        Детский сад на 98 мест с.Бердигестях</t>
  </si>
  <si>
    <t xml:space="preserve">Оценка эффективности реализации муниципальных программ МР "Горный улус" за 2019г. </t>
  </si>
  <si>
    <t>балл</t>
  </si>
  <si>
    <t>Развитие сельскохозяйственного производства МР "Горный улус" на 2018-2022годы</t>
  </si>
  <si>
    <t>Управление муниципальной собственностью МР "Горный улус" на 2018-2022 годы</t>
  </si>
  <si>
    <r>
      <t>=&gt; эффективную - при 80 &lt;= Э</t>
    </r>
    <r>
      <rPr>
        <vertAlign val="subscript"/>
        <sz val="12"/>
        <rFont val="Times New Roman"/>
        <family val="1"/>
        <charset val="204"/>
      </rPr>
      <t>кол.</t>
    </r>
    <r>
      <rPr>
        <sz val="12"/>
        <rFont val="Times New Roman"/>
        <family val="1"/>
        <charset val="204"/>
      </rPr>
      <t>&lt;= 100;</t>
    </r>
  </si>
  <si>
    <r>
      <t>=&gt; умеренно эффективную - при 60 &lt;= Э</t>
    </r>
    <r>
      <rPr>
        <vertAlign val="subscript"/>
        <sz val="12"/>
        <rFont val="Times New Roman"/>
        <family val="1"/>
        <charset val="204"/>
      </rPr>
      <t>кол.</t>
    </r>
    <r>
      <rPr>
        <sz val="12"/>
        <rFont val="Times New Roman"/>
        <family val="1"/>
        <charset val="204"/>
      </rPr>
      <t>&lt;= 80;</t>
    </r>
  </si>
  <si>
    <r>
      <t>=&gt; недостаточно эффективную - при 40 &lt;= Э</t>
    </r>
    <r>
      <rPr>
        <vertAlign val="subscript"/>
        <sz val="12"/>
        <rFont val="Times New Roman"/>
        <family val="1"/>
        <charset val="204"/>
      </rPr>
      <t>кол.</t>
    </r>
    <r>
      <rPr>
        <sz val="12"/>
        <rFont val="Times New Roman"/>
        <family val="1"/>
        <charset val="204"/>
      </rPr>
      <t>&lt;= 60;</t>
    </r>
  </si>
  <si>
    <r>
      <t>=&gt; неэффективную - при Э</t>
    </r>
    <r>
      <rPr>
        <vertAlign val="subscript"/>
        <sz val="12"/>
        <rFont val="Times New Roman"/>
        <family val="1"/>
        <charset val="204"/>
      </rPr>
      <t>кол.</t>
    </r>
    <r>
      <rPr>
        <sz val="12"/>
        <rFont val="Times New Roman"/>
        <family val="1"/>
        <charset val="204"/>
      </rPr>
      <t>&lt; 40.</t>
    </r>
  </si>
  <si>
    <t>проектирование водоснабжения с. Бердигестях</t>
  </si>
  <si>
    <t>запланирован конкурс на распределение средств НКО 1 квартал 2020 года</t>
  </si>
  <si>
    <t>остаток за отсутствием заявителей</t>
  </si>
  <si>
    <t>реализация в 1 квартале 2020</t>
  </si>
  <si>
    <t>остаток от экономии</t>
  </si>
  <si>
    <t>остаток по договорам генпланов с.Кептин,с.Бясь-Кюель</t>
  </si>
  <si>
    <t>Кассовые расходы за 2019  (тыс.руб.)</t>
  </si>
  <si>
    <t>Отчет о достигнутых значениях целевых показателей муниципальных программ МР "Горный улус" по состоянию  на 01 января 2020 года</t>
  </si>
  <si>
    <r>
      <t>м</t>
    </r>
    <r>
      <rPr>
        <vertAlign val="superscript"/>
        <sz val="12"/>
        <color indexed="8"/>
        <rFont val="Times New Roman"/>
        <family val="1"/>
        <charset val="204"/>
      </rPr>
      <t>3</t>
    </r>
    <r>
      <rPr>
        <sz val="12"/>
        <color indexed="8"/>
        <rFont val="Times New Roman"/>
        <family val="1"/>
        <charset val="204"/>
      </rPr>
      <t>/чел.</t>
    </r>
  </si>
  <si>
    <r>
      <t>тыс. м</t>
    </r>
    <r>
      <rPr>
        <vertAlign val="superscript"/>
        <sz val="12"/>
        <color indexed="8"/>
        <rFont val="Times New Roman"/>
        <family val="1"/>
        <charset val="204"/>
      </rPr>
      <t>3</t>
    </r>
    <r>
      <rPr>
        <sz val="12"/>
        <color indexed="8"/>
        <rFont val="Times New Roman"/>
        <family val="1"/>
        <charset val="204"/>
      </rPr>
      <t>/км</t>
    </r>
  </si>
  <si>
    <r>
      <t>м</t>
    </r>
    <r>
      <rPr>
        <vertAlign val="superscript"/>
        <sz val="12"/>
        <color indexed="8"/>
        <rFont val="Times New Roman"/>
        <family val="1"/>
        <charset val="204"/>
      </rPr>
      <t>3</t>
    </r>
    <r>
      <rPr>
        <sz val="12"/>
        <color indexed="8"/>
        <rFont val="Times New Roman"/>
        <family val="1"/>
        <charset val="204"/>
      </rPr>
      <t>/чел. в год</t>
    </r>
  </si>
  <si>
    <r>
      <t>тыс. м</t>
    </r>
    <r>
      <rPr>
        <vertAlign val="superscript"/>
        <sz val="12"/>
        <color indexed="8"/>
        <rFont val="Times New Roman"/>
        <family val="1"/>
        <charset val="204"/>
      </rPr>
      <t>3</t>
    </r>
    <r>
      <rPr>
        <sz val="12"/>
        <color indexed="8"/>
        <rFont val="Times New Roman"/>
        <family val="1"/>
        <charset val="204"/>
      </rPr>
      <t>/чел.</t>
    </r>
  </si>
  <si>
    <r>
      <t>кВт•ч/м</t>
    </r>
    <r>
      <rPr>
        <vertAlign val="superscript"/>
        <sz val="12"/>
        <color indexed="8"/>
        <rFont val="Times New Roman"/>
        <family val="1"/>
        <charset val="204"/>
      </rPr>
      <t>3</t>
    </r>
  </si>
  <si>
    <r>
      <t>м</t>
    </r>
    <r>
      <rPr>
        <vertAlign val="superscript"/>
        <sz val="12"/>
        <color indexed="8"/>
        <rFont val="Times New Roman"/>
        <family val="1"/>
        <charset val="204"/>
      </rPr>
      <t>3</t>
    </r>
  </si>
  <si>
    <r>
      <t>м</t>
    </r>
    <r>
      <rPr>
        <vertAlign val="superscript"/>
        <sz val="12"/>
        <color indexed="8"/>
        <rFont val="Times New Roman"/>
        <family val="1"/>
        <charset val="204"/>
      </rPr>
      <t>3</t>
    </r>
    <r>
      <rPr>
        <sz val="12"/>
        <color indexed="8"/>
        <rFont val="Times New Roman"/>
        <family val="1"/>
        <charset val="204"/>
      </rPr>
      <t>/Гкал</t>
    </r>
  </si>
  <si>
    <t>Количество отремонтированных инженерных сооружений муниципальных автомобильных дорог</t>
  </si>
  <si>
    <t>Урожайность сельхозкультур</t>
  </si>
  <si>
    <t xml:space="preserve">Производство хлеба и хлебобулочных изделий </t>
  </si>
  <si>
    <t>Производство молочной продукции</t>
  </si>
  <si>
    <t xml:space="preserve">Производство масла сливочного </t>
  </si>
  <si>
    <t xml:space="preserve">Производства мясных полуфабрикатов </t>
  </si>
  <si>
    <t>Заготовка грубых кормов</t>
  </si>
  <si>
    <t xml:space="preserve">Цель– реализация требований Федерального закона от 23 ноября 2009 года № 261-ФЗ «Об энергосбережении и повышении энергетической эффективности и о внесении изменений в отдельные законодательные акты Российской Федерации» </t>
  </si>
  <si>
    <t>Муниципальная программа «Обеспечение качественным жильем на 2012-2022 годы</t>
  </si>
  <si>
    <t>Муниципальная программа «Дорожное хозяйство на 2018-2022 годы»</t>
  </si>
  <si>
    <t>Муниципальная программа«Энергосбережение на территории МР "Горный улус" на 2015-2020 годы»</t>
  </si>
  <si>
    <t>Муниципальная программа «Развитие сельскохозяйственного производства МР "Горный улус"на 2018-2022годы»</t>
  </si>
  <si>
    <t>Муниципальная программа«Управление муниципальной собственностью МР "Горный улус" на 2018-2022 годы»</t>
  </si>
  <si>
    <t>Муниципальная программа «Развитие предпринимательства и туризма в МР "Горный улус" на 2018-2022 годы»</t>
  </si>
  <si>
    <t>Муниципальная программа«Развитие информационного общества на территории муниципального района «Горный улус» на 2018-2022 годы»</t>
  </si>
  <si>
    <t>Муниципальная программа«Охрана труда в Горном улусе на 2018-2022г.»</t>
  </si>
  <si>
    <t>Муниципальная программа «Развитие кадрового потенциала муниципальной службы в Горном улусе на 2018-2022 годы»</t>
  </si>
  <si>
    <t>Муниципальная программа«Старшее поколение на 2018-2022 годы»</t>
  </si>
  <si>
    <t>Муниципальная программа «Поддержка некоммерческих организаций и ТОС в Горном улусе на 2018-2022 годы»</t>
  </si>
  <si>
    <t>Муниципальная программа «Обеспечение безбаръерной среды жизнедеятельности инвалидов в Горном улусе на 2018-2022 годы»</t>
  </si>
  <si>
    <t>Муниципальная программа«Семейная политика в Горном улусе на 2018-2022 годы»</t>
  </si>
  <si>
    <t>Муниципальная программа«Профилактика безнадзорности и правонарушения несовершеннолетних на территории Горного улуса на 2018-2022 годы»</t>
  </si>
  <si>
    <t>Межмуниципальная программа«Молодежь Горного улуса РС (Я) на 2018-2022 годы»</t>
  </si>
  <si>
    <t>Муниципальная программа «Развитие физической культуры и спорта в муниципальном районе «Горный улус» на 2018-2022 годы»</t>
  </si>
  <si>
    <t>Межмуниципальная программа«Создание условий для духовно-культурного развития граждан Горного улуса на 2018-2022 годы»</t>
  </si>
  <si>
    <t>Муниципальная программа«Развития образования в МР "Горный улус" на 2012-2022 годы»</t>
  </si>
  <si>
    <t>Муниципальная программа «Охрана окружающей среды муниципального района «Горный улус» РС(Я) на период 2017-2022 годы»</t>
  </si>
  <si>
    <t>Муниципальная программа «Газификация населенных пунктов муниципального района «Горный улус» на 2019 – 2023 годы»</t>
  </si>
  <si>
    <t>Цель-проведение единой государственной политики в сфере профилактики правонарушений и противодействия преступности, консолидация усилий и повышение эффективности деятельности правоохранительного органа в области правопорядка, стабилизация криминальной ситуации в Горном районе</t>
  </si>
  <si>
    <t>экз.</t>
  </si>
  <si>
    <t>вып.</t>
  </si>
  <si>
    <t xml:space="preserve">Развитие образования МР "Горный улус" на 2012-2022 годы </t>
  </si>
  <si>
    <t>по итогам конкурса экономия</t>
  </si>
  <si>
    <t>по итогам конкурса</t>
  </si>
  <si>
    <t>Количество земельных участков, зарегистрированных в собственность муниципального района</t>
  </si>
  <si>
    <t>в т.ч. объем доходов от аренды неразграниченных земельными участками</t>
  </si>
  <si>
    <t>Объем доходов от сдачи в аренду имущества, за исключением земельных участков</t>
  </si>
  <si>
    <t>Доля СО НКО и ТОС, получающих методическую, информационную и консультационную поддержку из общего числа зарегистрированных СО НКО и ТОС</t>
  </si>
  <si>
    <t>Доля реализованных проектов СО НКО и ТОС, которым оказана финансовая поддержка за счет средств субсидии, из общего количества проектов, которым оказана финансовая поддержка</t>
  </si>
  <si>
    <t>Отношение муниципального  долга к доходам бюджета без учета объема безвозмездных поступлений</t>
  </si>
  <si>
    <t>финансирование приостановлена</t>
  </si>
  <si>
    <t>УАиС (Дьяконов Н.В.)</t>
  </si>
  <si>
    <t>Экономия образована в связи с отключением одного абонентского номера (передан МКУ ЦБ), дебиторской задолженностью за потребление электроэнергии, неправильным оформлением поставщиком ГСМ счета-фактуры и счета на оплату.</t>
  </si>
  <si>
    <t>Остаток выходного пособия работников ликвидированного МБДОУ "Надежда" в связи с трудоустройством 1 работника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</si>
</sst>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_₽_-;\-* #,##0.00\ _₽_-;_-* &quot;-&quot;??\ _₽_-;_-@_-"/>
    <numFmt numFmtId="165" formatCode="0.0"/>
    <numFmt numFmtId="166" formatCode="0.000"/>
    <numFmt numFmtId="167" formatCode="#,##0.00\ _₽"/>
    <numFmt numFmtId="168" formatCode="#,##0.0"/>
    <numFmt numFmtId="169" formatCode="#,##0.000"/>
    <numFmt numFmtId="170" formatCode="_-* #,##0.000_р_._-;\-* #,##0.000_р_._-;_-* &quot;-&quot;??_р_._-;_-@_-"/>
    <numFmt numFmtId="171" formatCode="#,##0.0000"/>
    <numFmt numFmtId="172" formatCode="_-* #,##0.0_р_._-;\-* #,##0.0_р_._-;_-* &quot;-&quot;??_р_._-;_-@_-"/>
  </numFmts>
  <fonts count="39" x14ac:knownFonts="1"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sz val="10"/>
      <color rgb="FF000000"/>
      <name val="Arial CYR"/>
      <family val="2"/>
    </font>
    <font>
      <sz val="10"/>
      <color indexed="8"/>
      <name val="Arial Cyr"/>
      <family val="2"/>
      <charset val="204"/>
    </font>
    <font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sz val="12"/>
      <color rgb="FFFF0000"/>
      <name val="Times New Roman"/>
      <family val="1"/>
      <charset val="204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sz val="10"/>
      <color rgb="FF000000"/>
      <name val="Arial Cyr"/>
    </font>
    <font>
      <sz val="12"/>
      <color theme="1"/>
      <name val="Calibri"/>
      <family val="2"/>
      <charset val="204"/>
      <scheme val="minor"/>
    </font>
    <font>
      <sz val="12"/>
      <name val="Arial Cyr"/>
      <charset val="204"/>
    </font>
    <font>
      <vertAlign val="subscript"/>
      <sz val="12"/>
      <name val="Times New Roman"/>
      <family val="1"/>
      <charset val="204"/>
    </font>
    <font>
      <sz val="12"/>
      <color rgb="FF000000"/>
      <name val="Cambria"/>
      <family val="1"/>
      <charset val="204"/>
      <scheme val="major"/>
    </font>
    <font>
      <sz val="12"/>
      <color rgb="FF434343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9" fillId="0" borderId="0"/>
    <xf numFmtId="0" fontId="11" fillId="0" borderId="10">
      <alignment vertical="top" wrapText="1"/>
    </xf>
    <xf numFmtId="4" fontId="11" fillId="4" borderId="10">
      <alignment horizontal="right" vertical="top" shrinkToFit="1"/>
    </xf>
    <xf numFmtId="0" fontId="12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4" fillId="0" borderId="0">
      <alignment vertical="top" wrapText="1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9" fillId="0" borderId="0"/>
    <xf numFmtId="0" fontId="24" fillId="0" borderId="0"/>
    <xf numFmtId="0" fontId="9" fillId="0" borderId="0"/>
    <xf numFmtId="0" fontId="25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66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8" fillId="0" borderId="0">
      <alignment wrapText="1"/>
    </xf>
    <xf numFmtId="0" fontId="28" fillId="0" borderId="0"/>
    <xf numFmtId="0" fontId="29" fillId="0" borderId="0">
      <alignment horizontal="center" wrapText="1"/>
    </xf>
    <xf numFmtId="0" fontId="29" fillId="0" borderId="0">
      <alignment horizontal="center"/>
    </xf>
    <xf numFmtId="0" fontId="28" fillId="0" borderId="0">
      <alignment horizontal="right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0" fontId="28" fillId="0" borderId="10">
      <alignment horizontal="center" vertical="center" wrapText="1"/>
    </xf>
    <xf numFmtId="1" fontId="28" fillId="0" borderId="10">
      <alignment horizontal="center" vertical="top" shrinkToFit="1"/>
    </xf>
    <xf numFmtId="10" fontId="11" fillId="4" borderId="10">
      <alignment horizontal="right" vertical="top" shrinkToFit="1"/>
    </xf>
    <xf numFmtId="0" fontId="11" fillId="0" borderId="10">
      <alignment horizontal="left"/>
    </xf>
    <xf numFmtId="4" fontId="11" fillId="9" borderId="10">
      <alignment horizontal="right" vertical="top" shrinkToFit="1"/>
    </xf>
    <xf numFmtId="10" fontId="11" fillId="9" borderId="10">
      <alignment horizontal="right" vertical="top" shrinkToFit="1"/>
    </xf>
    <xf numFmtId="0" fontId="28" fillId="0" borderId="0">
      <alignment horizontal="left" wrapTex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" fontId="30" fillId="0" borderId="10">
      <alignment horizontal="right" vertical="top" shrinkToFit="1"/>
    </xf>
  </cellStyleXfs>
  <cellXfs count="926">
    <xf numFmtId="0" fontId="0" fillId="0" borderId="0" xfId="0"/>
    <xf numFmtId="0" fontId="6" fillId="0" borderId="6" xfId="0" applyFont="1" applyFill="1" applyBorder="1" applyAlignment="1">
      <alignment vertical="justify" wrapText="1"/>
    </xf>
    <xf numFmtId="0" fontId="3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justify" wrapText="1"/>
    </xf>
    <xf numFmtId="0" fontId="7" fillId="0" borderId="6" xfId="0" applyFont="1" applyBorder="1" applyAlignment="1">
      <alignment vertical="top" wrapText="1"/>
    </xf>
    <xf numFmtId="0" fontId="3" fillId="0" borderId="6" xfId="0" applyFont="1" applyBorder="1" applyAlignment="1">
      <alignment wrapText="1"/>
    </xf>
    <xf numFmtId="0" fontId="6" fillId="0" borderId="6" xfId="2" applyFont="1" applyBorder="1" applyAlignment="1">
      <alignment horizontal="left" wrapText="1"/>
    </xf>
    <xf numFmtId="0" fontId="8" fillId="2" borderId="6" xfId="2" applyFont="1" applyFill="1" applyBorder="1" applyAlignment="1">
      <alignment wrapText="1"/>
    </xf>
    <xf numFmtId="0" fontId="5" fillId="3" borderId="6" xfId="2" applyFont="1" applyFill="1" applyBorder="1" applyAlignment="1">
      <alignment wrapText="1"/>
    </xf>
    <xf numFmtId="3" fontId="5" fillId="0" borderId="6" xfId="0" applyNumberFormat="1" applyFont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top" wrapText="1"/>
    </xf>
    <xf numFmtId="0" fontId="6" fillId="0" borderId="6" xfId="2" applyFont="1" applyFill="1" applyBorder="1" applyAlignment="1">
      <alignment horizontal="left" vertical="top" wrapText="1"/>
    </xf>
    <xf numFmtId="0" fontId="6" fillId="0" borderId="6" xfId="5" applyNumberFormat="1" applyFont="1" applyBorder="1" applyProtection="1">
      <alignment vertical="top" wrapText="1"/>
    </xf>
    <xf numFmtId="4" fontId="6" fillId="3" borderId="6" xfId="6" applyNumberFormat="1" applyFont="1" applyFill="1" applyBorder="1" applyAlignment="1" applyProtection="1">
      <alignment horizontal="center" vertical="center" shrinkToFit="1"/>
    </xf>
    <xf numFmtId="0" fontId="6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center" wrapText="1"/>
    </xf>
    <xf numFmtId="0" fontId="5" fillId="0" borderId="6" xfId="0" applyFont="1" applyBorder="1"/>
    <xf numFmtId="0" fontId="3" fillId="3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8" fillId="0" borderId="6" xfId="2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left" wrapText="1"/>
    </xf>
    <xf numFmtId="168" fontId="8" fillId="2" borderId="6" xfId="2" applyNumberFormat="1" applyFont="1" applyFill="1" applyBorder="1" applyAlignment="1">
      <alignment horizontal="center" vertical="center"/>
    </xf>
    <xf numFmtId="2" fontId="6" fillId="0" borderId="6" xfId="2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5" borderId="6" xfId="0" applyFont="1" applyFill="1" applyBorder="1" applyAlignment="1">
      <alignment horizontal="left" vertical="top" wrapText="1"/>
    </xf>
    <xf numFmtId="2" fontId="13" fillId="0" borderId="6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vertical="top" wrapText="1"/>
    </xf>
    <xf numFmtId="4" fontId="3" fillId="2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justify"/>
    </xf>
    <xf numFmtId="0" fontId="5" fillId="3" borderId="6" xfId="0" applyFont="1" applyFill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2" fontId="6" fillId="3" borderId="6" xfId="2" applyNumberFormat="1" applyFont="1" applyFill="1" applyBorder="1" applyAlignment="1">
      <alignment horizontal="center"/>
    </xf>
    <xf numFmtId="4" fontId="3" fillId="3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wrapText="1"/>
    </xf>
    <xf numFmtId="0" fontId="16" fillId="3" borderId="6" xfId="2" applyFont="1" applyFill="1" applyBorder="1" applyAlignment="1">
      <alignment horizontal="left" vertical="center" wrapText="1"/>
    </xf>
    <xf numFmtId="0" fontId="6" fillId="3" borderId="6" xfId="3" applyFont="1" applyFill="1" applyBorder="1" applyAlignment="1">
      <alignment wrapText="1"/>
    </xf>
    <xf numFmtId="4" fontId="3" fillId="3" borderId="6" xfId="2" applyNumberFormat="1" applyFont="1" applyFill="1" applyBorder="1" applyAlignment="1">
      <alignment horizontal="center" vertical="center"/>
    </xf>
    <xf numFmtId="0" fontId="8" fillId="3" borderId="6" xfId="2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top" wrapText="1"/>
    </xf>
    <xf numFmtId="16" fontId="10" fillId="3" borderId="6" xfId="0" applyNumberFormat="1" applyFont="1" applyFill="1" applyBorder="1" applyAlignment="1">
      <alignment horizontal="center" vertical="top" wrapText="1"/>
    </xf>
    <xf numFmtId="2" fontId="8" fillId="2" borderId="6" xfId="2" applyNumberFormat="1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/>
    </xf>
    <xf numFmtId="0" fontId="8" fillId="0" borderId="6" xfId="2" applyFont="1" applyBorder="1" applyAlignment="1">
      <alignment horizontal="center"/>
    </xf>
    <xf numFmtId="0" fontId="8" fillId="0" borderId="0" xfId="2" applyFont="1" applyFill="1" applyAlignment="1">
      <alignment horizontal="center"/>
    </xf>
    <xf numFmtId="0" fontId="6" fillId="0" borderId="0" xfId="2" applyFont="1" applyAlignment="1">
      <alignment wrapText="1"/>
    </xf>
    <xf numFmtId="0" fontId="8" fillId="0" borderId="0" xfId="2" applyFont="1"/>
    <xf numFmtId="0" fontId="6" fillId="0" borderId="6" xfId="2" applyFont="1" applyBorder="1" applyAlignment="1">
      <alignment horizontal="center" wrapText="1"/>
    </xf>
    <xf numFmtId="0" fontId="3" fillId="2" borderId="6" xfId="0" applyFont="1" applyFill="1" applyBorder="1"/>
    <xf numFmtId="0" fontId="14" fillId="0" borderId="0" xfId="2" applyFont="1" applyFill="1"/>
    <xf numFmtId="0" fontId="6" fillId="0" borderId="0" xfId="2" applyFont="1" applyFill="1"/>
    <xf numFmtId="0" fontId="14" fillId="0" borderId="0" xfId="2" applyFont="1"/>
    <xf numFmtId="4" fontId="6" fillId="0" borderId="0" xfId="2" applyNumberFormat="1" applyFont="1" applyFill="1"/>
    <xf numFmtId="0" fontId="6" fillId="0" borderId="6" xfId="2" applyFont="1" applyFill="1" applyBorder="1" applyAlignment="1">
      <alignment horizontal="center"/>
    </xf>
    <xf numFmtId="0" fontId="13" fillId="0" borderId="6" xfId="0" applyFont="1" applyFill="1" applyBorder="1" applyAlignment="1">
      <alignment vertical="top" wrapText="1"/>
    </xf>
    <xf numFmtId="0" fontId="8" fillId="3" borderId="6" xfId="2" applyFont="1" applyFill="1" applyBorder="1" applyAlignment="1">
      <alignment horizontal="left" wrapText="1"/>
    </xf>
    <xf numFmtId="165" fontId="16" fillId="2" borderId="6" xfId="2" applyNumberFormat="1" applyFont="1" applyFill="1" applyBorder="1" applyAlignment="1">
      <alignment horizontal="center" vertical="center" wrapText="1"/>
    </xf>
    <xf numFmtId="4" fontId="16" fillId="3" borderId="6" xfId="2" applyNumberFormat="1" applyFont="1" applyFill="1" applyBorder="1" applyAlignment="1">
      <alignment horizontal="center" vertical="center" wrapText="1"/>
    </xf>
    <xf numFmtId="4" fontId="8" fillId="3" borderId="6" xfId="2" applyNumberFormat="1" applyFont="1" applyFill="1" applyBorder="1" applyAlignment="1">
      <alignment horizontal="center" vertical="center" wrapText="1"/>
    </xf>
    <xf numFmtId="4" fontId="7" fillId="3" borderId="6" xfId="2" applyNumberFormat="1" applyFont="1" applyFill="1" applyBorder="1" applyAlignment="1">
      <alignment horizontal="center" vertical="center" wrapText="1"/>
    </xf>
    <xf numFmtId="4" fontId="7" fillId="3" borderId="6" xfId="2" applyNumberFormat="1" applyFont="1" applyFill="1" applyBorder="1" applyAlignment="1">
      <alignment horizontal="center" vertical="center"/>
    </xf>
    <xf numFmtId="4" fontId="6" fillId="3" borderId="6" xfId="2" applyNumberFormat="1" applyFont="1" applyFill="1" applyBorder="1" applyAlignment="1">
      <alignment horizontal="center" vertical="center" wrapText="1"/>
    </xf>
    <xf numFmtId="4" fontId="16" fillId="3" borderId="6" xfId="2" applyNumberFormat="1" applyFont="1" applyFill="1" applyBorder="1" applyAlignment="1">
      <alignment horizontal="center" vertical="center"/>
    </xf>
    <xf numFmtId="4" fontId="8" fillId="3" borderId="6" xfId="2" applyNumberFormat="1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4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 justifyLastLine="1"/>
    </xf>
    <xf numFmtId="0" fontId="3" fillId="3" borderId="6" xfId="0" applyFont="1" applyFill="1" applyBorder="1" applyAlignment="1">
      <alignment wrapText="1"/>
    </xf>
    <xf numFmtId="0" fontId="13" fillId="3" borderId="6" xfId="0" applyFont="1" applyFill="1" applyBorder="1" applyAlignment="1">
      <alignment horizontal="left" wrapText="1"/>
    </xf>
    <xf numFmtId="0" fontId="6" fillId="3" borderId="6" xfId="2" applyFont="1" applyFill="1" applyBorder="1" applyAlignment="1">
      <alignment wrapText="1"/>
    </xf>
    <xf numFmtId="49" fontId="6" fillId="0" borderId="6" xfId="0" applyNumberFormat="1" applyFont="1" applyBorder="1" applyAlignment="1">
      <alignment wrapText="1"/>
    </xf>
    <xf numFmtId="16" fontId="6" fillId="0" borderId="6" xfId="2" applyNumberFormat="1" applyFont="1" applyFill="1" applyBorder="1" applyAlignment="1">
      <alignment horizontal="center"/>
    </xf>
    <xf numFmtId="4" fontId="6" fillId="0" borderId="6" xfId="2" applyNumberFormat="1" applyFont="1" applyFill="1" applyBorder="1" applyAlignment="1">
      <alignment horizontal="center" vertical="center" wrapText="1"/>
    </xf>
    <xf numFmtId="4" fontId="5" fillId="5" borderId="6" xfId="0" applyNumberFormat="1" applyFont="1" applyFill="1" applyBorder="1" applyAlignment="1">
      <alignment horizontal="center" vertical="center"/>
    </xf>
    <xf numFmtId="4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165" fontId="6" fillId="3" borderId="6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wrapText="1"/>
    </xf>
    <xf numFmtId="16" fontId="8" fillId="0" borderId="6" xfId="2" applyNumberFormat="1" applyFont="1" applyFill="1" applyBorder="1" applyAlignment="1">
      <alignment horizontal="center"/>
    </xf>
    <xf numFmtId="2" fontId="5" fillId="3" borderId="6" xfId="0" applyNumberFormat="1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10" fillId="3" borderId="6" xfId="0" applyFont="1" applyFill="1" applyBorder="1" applyAlignment="1">
      <alignment vertical="top" wrapText="1"/>
    </xf>
    <xf numFmtId="1" fontId="5" fillId="3" borderId="6" xfId="0" applyNumberFormat="1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horizontal="left" wrapText="1"/>
    </xf>
    <xf numFmtId="0" fontId="6" fillId="0" borderId="6" xfId="2" applyFont="1" applyFill="1" applyBorder="1" applyAlignment="1">
      <alignment horizontal="left" wrapText="1"/>
    </xf>
    <xf numFmtId="0" fontId="15" fillId="2" borderId="6" xfId="0" applyFont="1" applyFill="1" applyBorder="1"/>
    <xf numFmtId="0" fontId="7" fillId="3" borderId="6" xfId="2" applyFont="1" applyFill="1" applyBorder="1" applyAlignment="1">
      <alignment horizontal="left" vertical="center" wrapText="1"/>
    </xf>
    <xf numFmtId="0" fontId="6" fillId="3" borderId="6" xfId="2" applyFont="1" applyFill="1" applyBorder="1" applyAlignment="1">
      <alignment horizontal="left" vertical="top" wrapText="1"/>
    </xf>
    <xf numFmtId="0" fontId="7" fillId="3" borderId="6" xfId="2" applyFont="1" applyFill="1" applyBorder="1" applyAlignment="1">
      <alignment vertical="top" wrapText="1"/>
    </xf>
    <xf numFmtId="0" fontId="7" fillId="3" borderId="6" xfId="2" applyFont="1" applyFill="1" applyBorder="1" applyAlignment="1">
      <alignment horizontal="justify" vertical="center" wrapText="1"/>
    </xf>
    <xf numFmtId="0" fontId="6" fillId="3" borderId="6" xfId="2" applyFont="1" applyFill="1" applyBorder="1" applyAlignment="1">
      <alignment vertical="center" wrapText="1"/>
    </xf>
    <xf numFmtId="0" fontId="7" fillId="3" borderId="6" xfId="2" applyFont="1" applyFill="1" applyBorder="1" applyAlignment="1">
      <alignment horizontal="left" vertical="top" wrapText="1"/>
    </xf>
    <xf numFmtId="0" fontId="5" fillId="3" borderId="6" xfId="4" applyFont="1" applyFill="1" applyBorder="1" applyAlignment="1">
      <alignment horizontal="left" vertical="top" wrapText="1"/>
    </xf>
    <xf numFmtId="0" fontId="14" fillId="0" borderId="6" xfId="2" applyFont="1" applyFill="1" applyBorder="1" applyAlignment="1">
      <alignment horizontal="left" wrapText="1"/>
    </xf>
    <xf numFmtId="0" fontId="14" fillId="0" borderId="6" xfId="2" applyFont="1" applyBorder="1" applyAlignment="1">
      <alignment horizontal="left" wrapText="1"/>
    </xf>
    <xf numFmtId="2" fontId="8" fillId="2" borderId="6" xfId="2" applyNumberFormat="1" applyFont="1" applyFill="1" applyBorder="1" applyAlignment="1">
      <alignment horizontal="center" vertical="center" wrapText="1"/>
    </xf>
    <xf numFmtId="2" fontId="6" fillId="3" borderId="6" xfId="2" applyNumberFormat="1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/>
    </xf>
    <xf numFmtId="165" fontId="8" fillId="2" borderId="6" xfId="2" applyNumberFormat="1" applyFont="1" applyFill="1" applyBorder="1" applyAlignment="1">
      <alignment horizontal="center" vertical="center" wrapText="1"/>
    </xf>
    <xf numFmtId="165" fontId="8" fillId="0" borderId="6" xfId="2" applyNumberFormat="1" applyFont="1" applyBorder="1" applyAlignment="1">
      <alignment horizontal="center" vertical="center"/>
    </xf>
    <xf numFmtId="165" fontId="6" fillId="0" borderId="6" xfId="2" applyNumberFormat="1" applyFont="1" applyBorder="1" applyAlignment="1">
      <alignment horizontal="center" vertical="center"/>
    </xf>
    <xf numFmtId="2" fontId="6" fillId="0" borderId="6" xfId="2" applyNumberFormat="1" applyFont="1" applyBorder="1" applyAlignment="1">
      <alignment horizontal="center" vertical="center"/>
    </xf>
    <xf numFmtId="2" fontId="6" fillId="0" borderId="6" xfId="2" applyNumberFormat="1" applyFont="1" applyFill="1" applyBorder="1" applyAlignment="1">
      <alignment horizontal="center" vertical="center"/>
    </xf>
    <xf numFmtId="0" fontId="6" fillId="0" borderId="6" xfId="2" applyNumberFormat="1" applyFont="1" applyFill="1" applyBorder="1" applyAlignment="1">
      <alignment horizontal="center" vertical="center"/>
    </xf>
    <xf numFmtId="166" fontId="8" fillId="2" borderId="6" xfId="2" applyNumberFormat="1" applyFont="1" applyFill="1" applyBorder="1" applyAlignment="1">
      <alignment horizontal="center" vertical="center"/>
    </xf>
    <xf numFmtId="4" fontId="6" fillId="3" borderId="6" xfId="0" applyNumberFormat="1" applyFont="1" applyFill="1" applyBorder="1" applyAlignment="1">
      <alignment horizontal="center" vertical="center" wrapText="1"/>
    </xf>
    <xf numFmtId="166" fontId="6" fillId="0" borderId="6" xfId="2" applyNumberFormat="1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8" fillId="2" borderId="6" xfId="0" applyNumberFormat="1" applyFont="1" applyFill="1" applyBorder="1" applyAlignment="1">
      <alignment horizontal="center" vertical="center" wrapText="1"/>
    </xf>
    <xf numFmtId="165" fontId="6" fillId="3" borderId="6" xfId="2" applyNumberFormat="1" applyFont="1" applyFill="1" applyBorder="1" applyAlignment="1">
      <alignment horizontal="center" vertical="center"/>
    </xf>
    <xf numFmtId="168" fontId="8" fillId="2" borderId="6" xfId="2" applyNumberFormat="1" applyFont="1" applyFill="1" applyBorder="1" applyAlignment="1">
      <alignment horizontal="center" vertical="center" wrapText="1"/>
    </xf>
    <xf numFmtId="168" fontId="6" fillId="3" borderId="6" xfId="2" applyNumberFormat="1" applyFont="1" applyFill="1" applyBorder="1" applyAlignment="1">
      <alignment horizontal="center" vertical="center" wrapText="1"/>
    </xf>
    <xf numFmtId="168" fontId="6" fillId="0" borderId="6" xfId="2" applyNumberFormat="1" applyFont="1" applyBorder="1" applyAlignment="1">
      <alignment horizontal="center" vertical="center" wrapText="1"/>
    </xf>
    <xf numFmtId="0" fontId="6" fillId="0" borderId="6" xfId="2" applyFont="1" applyBorder="1" applyAlignment="1">
      <alignment vertical="center"/>
    </xf>
    <xf numFmtId="4" fontId="6" fillId="0" borderId="6" xfId="2" applyNumberFormat="1" applyFont="1" applyBorder="1" applyAlignment="1">
      <alignment horizontal="center" vertical="center"/>
    </xf>
    <xf numFmtId="4" fontId="8" fillId="0" borderId="6" xfId="2" applyNumberFormat="1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vertical="center" wrapText="1"/>
    </xf>
    <xf numFmtId="0" fontId="8" fillId="0" borderId="6" xfId="2" applyFont="1" applyBorder="1" applyAlignment="1">
      <alignment horizontal="center" vertical="center" wrapText="1"/>
    </xf>
    <xf numFmtId="168" fontId="6" fillId="7" borderId="6" xfId="0" applyNumberFormat="1" applyFont="1" applyFill="1" applyBorder="1" applyAlignment="1">
      <alignment horizontal="center" vertical="center"/>
    </xf>
    <xf numFmtId="0" fontId="6" fillId="0" borderId="6" xfId="2" applyFont="1" applyBorder="1" applyAlignment="1">
      <alignment horizontal="center" vertical="center" wrapText="1"/>
    </xf>
    <xf numFmtId="0" fontId="6" fillId="2" borderId="6" xfId="2" applyFont="1" applyFill="1" applyBorder="1" applyAlignment="1">
      <alignment vertical="center"/>
    </xf>
    <xf numFmtId="0" fontId="8" fillId="2" borderId="6" xfId="2" applyFont="1" applyFill="1" applyBorder="1" applyAlignment="1">
      <alignment vertical="center"/>
    </xf>
    <xf numFmtId="4" fontId="3" fillId="6" borderId="6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wrapText="1"/>
    </xf>
    <xf numFmtId="0" fontId="14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wrapText="1"/>
    </xf>
    <xf numFmtId="0" fontId="14" fillId="3" borderId="6" xfId="0" applyFont="1" applyFill="1" applyBorder="1" applyAlignment="1">
      <alignment horizontal="left" wrapText="1"/>
    </xf>
    <xf numFmtId="0" fontId="14" fillId="3" borderId="6" xfId="2" applyFont="1" applyFill="1" applyBorder="1" applyAlignment="1">
      <alignment horizontal="left" vertical="center" wrapText="1"/>
    </xf>
    <xf numFmtId="0" fontId="14" fillId="3" borderId="6" xfId="2" applyFont="1" applyFill="1" applyBorder="1" applyAlignment="1">
      <alignment horizontal="left" vertical="center"/>
    </xf>
    <xf numFmtId="0" fontId="6" fillId="3" borderId="6" xfId="2" applyFont="1" applyFill="1" applyBorder="1" applyAlignment="1">
      <alignment horizontal="left" wrapText="1"/>
    </xf>
    <xf numFmtId="2" fontId="13" fillId="3" borderId="6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6" fillId="3" borderId="6" xfId="2" applyFont="1" applyFill="1" applyBorder="1" applyAlignment="1">
      <alignment horizontal="left" vertical="center" wrapText="1"/>
    </xf>
    <xf numFmtId="0" fontId="6" fillId="0" borderId="0" xfId="2" applyFont="1"/>
    <xf numFmtId="0" fontId="10" fillId="0" borderId="6" xfId="2" applyFont="1" applyBorder="1" applyAlignment="1">
      <alignment horizontal="left" wrapText="1"/>
    </xf>
    <xf numFmtId="43" fontId="6" fillId="3" borderId="6" xfId="1" applyFont="1" applyFill="1" applyBorder="1" applyAlignment="1">
      <alignment horizontal="center" vertical="center"/>
    </xf>
    <xf numFmtId="0" fontId="8" fillId="3" borderId="6" xfId="2" applyFont="1" applyFill="1" applyBorder="1" applyAlignment="1">
      <alignment horizontal="center" vertical="center"/>
    </xf>
    <xf numFmtId="2" fontId="8" fillId="3" borderId="6" xfId="0" applyNumberFormat="1" applyFont="1" applyFill="1" applyBorder="1" applyAlignment="1">
      <alignment horizontal="center" vertical="center" wrapText="1"/>
    </xf>
    <xf numFmtId="2" fontId="6" fillId="3" borderId="6" xfId="0" applyNumberFormat="1" applyFont="1" applyFill="1" applyBorder="1" applyAlignment="1">
      <alignment horizontal="center" vertical="center" wrapText="1"/>
    </xf>
    <xf numFmtId="43" fontId="8" fillId="2" borderId="6" xfId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justify" vertical="top" wrapText="1"/>
    </xf>
    <xf numFmtId="0" fontId="3" fillId="2" borderId="6" xfId="0" applyFont="1" applyFill="1" applyBorder="1" applyAlignment="1">
      <alignment wrapText="1"/>
    </xf>
    <xf numFmtId="4" fontId="8" fillId="2" borderId="6" xfId="2" applyNumberFormat="1" applyFont="1" applyFill="1" applyBorder="1" applyAlignment="1">
      <alignment horizontal="center" vertical="center"/>
    </xf>
    <xf numFmtId="4" fontId="5" fillId="3" borderId="6" xfId="4" applyNumberFormat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/>
    </xf>
    <xf numFmtId="165" fontId="8" fillId="2" borderId="6" xfId="2" applyNumberFormat="1" applyFont="1" applyFill="1" applyBorder="1" applyAlignment="1">
      <alignment horizontal="center" vertical="center"/>
    </xf>
    <xf numFmtId="43" fontId="6" fillId="0" borderId="0" xfId="2" applyNumberFormat="1" applyFont="1"/>
    <xf numFmtId="0" fontId="3" fillId="2" borderId="0" xfId="0" applyFont="1" applyFill="1" applyAlignment="1">
      <alignment horizontal="left" wrapText="1"/>
    </xf>
    <xf numFmtId="2" fontId="8" fillId="3" borderId="6" xfId="2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2" fontId="5" fillId="0" borderId="6" xfId="0" applyNumberFormat="1" applyFont="1" applyBorder="1" applyAlignment="1">
      <alignment horizontal="center" vertical="top" wrapText="1"/>
    </xf>
    <xf numFmtId="0" fontId="10" fillId="0" borderId="6" xfId="2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43" fontId="8" fillId="2" borderId="6" xfId="1" applyFont="1" applyFill="1" applyBorder="1" applyAlignment="1">
      <alignment vertical="center" wrapText="1"/>
    </xf>
    <xf numFmtId="2" fontId="8" fillId="0" borderId="6" xfId="2" applyNumberFormat="1" applyFont="1" applyBorder="1" applyAlignment="1">
      <alignment horizontal="center" vertical="center"/>
    </xf>
    <xf numFmtId="0" fontId="16" fillId="3" borderId="6" xfId="2" applyFont="1" applyFill="1" applyBorder="1" applyAlignment="1">
      <alignment horizontal="left" vertical="top" wrapText="1"/>
    </xf>
    <xf numFmtId="2" fontId="8" fillId="0" borderId="6" xfId="2" applyNumberFormat="1" applyFont="1" applyFill="1" applyBorder="1" applyAlignment="1">
      <alignment horizontal="center" vertical="center"/>
    </xf>
    <xf numFmtId="43" fontId="8" fillId="3" borderId="6" xfId="1" applyFont="1" applyFill="1" applyBorder="1" applyAlignment="1">
      <alignment horizontal="center" vertical="center"/>
    </xf>
    <xf numFmtId="43" fontId="8" fillId="2" borderId="6" xfId="2" applyNumberFormat="1" applyFont="1" applyFill="1" applyBorder="1"/>
    <xf numFmtId="0" fontId="5" fillId="0" borderId="0" xfId="0" applyFont="1"/>
    <xf numFmtId="0" fontId="5" fillId="0" borderId="6" xfId="0" applyFont="1" applyBorder="1" applyAlignment="1">
      <alignment horizontal="center" wrapText="1"/>
    </xf>
    <xf numFmtId="0" fontId="3" fillId="2" borderId="6" xfId="0" applyFont="1" applyFill="1" applyBorder="1" applyAlignment="1">
      <alignment vertical="center" wrapText="1"/>
    </xf>
    <xf numFmtId="168" fontId="3" fillId="2" borderId="6" xfId="0" applyNumberFormat="1" applyFont="1" applyFill="1" applyBorder="1" applyAlignment="1">
      <alignment horizontal="center" vertical="center"/>
    </xf>
    <xf numFmtId="169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/>
    </xf>
    <xf numFmtId="0" fontId="18" fillId="0" borderId="6" xfId="0" applyFont="1" applyBorder="1" applyAlignment="1">
      <alignment wrapText="1"/>
    </xf>
    <xf numFmtId="168" fontId="18" fillId="0" borderId="6" xfId="0" applyNumberFormat="1" applyFont="1" applyBorder="1" applyAlignment="1">
      <alignment horizontal="center" vertical="center" wrapText="1"/>
    </xf>
    <xf numFmtId="165" fontId="18" fillId="0" borderId="6" xfId="0" applyNumberFormat="1" applyFont="1" applyBorder="1" applyAlignment="1">
      <alignment horizontal="center" vertical="center" wrapText="1"/>
    </xf>
    <xf numFmtId="168" fontId="5" fillId="0" borderId="6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2" fontId="18" fillId="0" borderId="6" xfId="0" applyNumberFormat="1" applyFont="1" applyBorder="1" applyAlignment="1">
      <alignment horizontal="center" vertical="center"/>
    </xf>
    <xf numFmtId="4" fontId="10" fillId="0" borderId="6" xfId="2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left" vertical="top" wrapText="1"/>
    </xf>
    <xf numFmtId="4" fontId="18" fillId="0" borderId="6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wrapText="1"/>
    </xf>
    <xf numFmtId="4" fontId="18" fillId="0" borderId="6" xfId="0" applyNumberFormat="1" applyFont="1" applyBorder="1" applyAlignment="1">
      <alignment horizontal="center" vertical="center"/>
    </xf>
    <xf numFmtId="0" fontId="8" fillId="2" borderId="6" xfId="2" applyFont="1" applyFill="1" applyBorder="1" applyAlignment="1">
      <alignment horizontal="left" vertical="center" wrapText="1"/>
    </xf>
    <xf numFmtId="0" fontId="5" fillId="0" borderId="6" xfId="0" applyNumberFormat="1" applyFont="1" applyBorder="1" applyAlignment="1">
      <alignment horizontal="center" vertical="center"/>
    </xf>
    <xf numFmtId="4" fontId="14" fillId="0" borderId="6" xfId="2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2" borderId="6" xfId="0" applyFont="1" applyFill="1" applyBorder="1" applyAlignment="1">
      <alignment wrapText="1"/>
    </xf>
    <xf numFmtId="4" fontId="5" fillId="0" borderId="6" xfId="2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8" fillId="2" borderId="6" xfId="2" applyFont="1" applyFill="1" applyBorder="1" applyAlignment="1">
      <alignment horizontal="left" vertical="top" wrapText="1"/>
    </xf>
    <xf numFmtId="165" fontId="8" fillId="2" borderId="6" xfId="0" applyNumberFormat="1" applyFont="1" applyFill="1" applyBorder="1" applyAlignment="1">
      <alignment horizontal="center" vertical="center"/>
    </xf>
    <xf numFmtId="2" fontId="8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top" wrapText="1"/>
    </xf>
    <xf numFmtId="2" fontId="10" fillId="5" borderId="6" xfId="0" applyNumberFormat="1" applyFont="1" applyFill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top" wrapText="1"/>
    </xf>
    <xf numFmtId="2" fontId="6" fillId="5" borderId="6" xfId="0" applyNumberFormat="1" applyFont="1" applyFill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left" vertical="top" wrapText="1"/>
    </xf>
    <xf numFmtId="0" fontId="10" fillId="0" borderId="6" xfId="2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 wrapText="1"/>
    </xf>
    <xf numFmtId="2" fontId="14" fillId="5" borderId="6" xfId="0" applyNumberFormat="1" applyFont="1" applyFill="1" applyBorder="1" applyAlignment="1">
      <alignment horizontal="center" vertical="center" wrapText="1"/>
    </xf>
    <xf numFmtId="4" fontId="19" fillId="0" borderId="6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left" vertical="top" wrapText="1"/>
    </xf>
    <xf numFmtId="0" fontId="14" fillId="0" borderId="6" xfId="2" applyFont="1" applyBorder="1" applyAlignment="1">
      <alignment horizontal="center" vertical="center" wrapText="1"/>
    </xf>
    <xf numFmtId="167" fontId="6" fillId="0" borderId="6" xfId="0" applyNumberFormat="1" applyFont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wrapText="1"/>
    </xf>
    <xf numFmtId="165" fontId="10" fillId="0" borderId="6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wrapText="1"/>
    </xf>
    <xf numFmtId="0" fontId="5" fillId="3" borderId="6" xfId="0" applyFont="1" applyFill="1" applyBorder="1"/>
    <xf numFmtId="4" fontId="5" fillId="3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vertical="center" wrapText="1"/>
    </xf>
    <xf numFmtId="169" fontId="3" fillId="2" borderId="6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" fontId="16" fillId="2" borderId="6" xfId="2" applyNumberFormat="1" applyFont="1" applyFill="1" applyBorder="1" applyAlignment="1">
      <alignment horizontal="center" vertical="center" wrapText="1"/>
    </xf>
    <xf numFmtId="165" fontId="8" fillId="2" borderId="6" xfId="3" applyNumberFormat="1" applyFont="1" applyFill="1" applyBorder="1" applyAlignment="1">
      <alignment horizontal="center" vertical="center"/>
    </xf>
    <xf numFmtId="0" fontId="22" fillId="3" borderId="6" xfId="2" applyFont="1" applyFill="1" applyBorder="1" applyAlignment="1">
      <alignment vertical="center" wrapText="1"/>
    </xf>
    <xf numFmtId="4" fontId="22" fillId="3" borderId="6" xfId="2" applyNumberFormat="1" applyFont="1" applyFill="1" applyBorder="1" applyAlignment="1">
      <alignment horizontal="center" vertical="center" wrapText="1"/>
    </xf>
    <xf numFmtId="165" fontId="10" fillId="3" borderId="6" xfId="3" applyNumberFormat="1" applyFont="1" applyFill="1" applyBorder="1" applyAlignment="1">
      <alignment horizontal="center" vertical="center"/>
    </xf>
    <xf numFmtId="0" fontId="23" fillId="3" borderId="6" xfId="2" applyFont="1" applyFill="1" applyBorder="1" applyAlignment="1">
      <alignment vertical="center" wrapText="1"/>
    </xf>
    <xf numFmtId="4" fontId="23" fillId="3" borderId="6" xfId="2" applyNumberFormat="1" applyFont="1" applyFill="1" applyBorder="1" applyAlignment="1">
      <alignment horizontal="center" vertical="center"/>
    </xf>
    <xf numFmtId="165" fontId="14" fillId="3" borderId="6" xfId="3" applyNumberFormat="1" applyFont="1" applyFill="1" applyBorder="1" applyAlignment="1">
      <alignment horizontal="center" vertical="center"/>
    </xf>
    <xf numFmtId="4" fontId="23" fillId="3" borderId="6" xfId="2" applyNumberFormat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165" fontId="6" fillId="3" borderId="6" xfId="3" applyNumberFormat="1" applyFont="1" applyFill="1" applyBorder="1" applyAlignment="1">
      <alignment horizontal="center" vertical="center"/>
    </xf>
    <xf numFmtId="0" fontId="14" fillId="3" borderId="6" xfId="2" applyFont="1" applyFill="1" applyBorder="1" applyAlignment="1">
      <alignment vertical="top" wrapText="1"/>
    </xf>
    <xf numFmtId="0" fontId="7" fillId="3" borderId="6" xfId="2" applyFont="1" applyFill="1" applyBorder="1" applyAlignment="1">
      <alignment vertical="center" wrapText="1"/>
    </xf>
    <xf numFmtId="0" fontId="7" fillId="3" borderId="6" xfId="2" applyFont="1" applyFill="1" applyBorder="1" applyAlignment="1">
      <alignment horizontal="center" vertical="center" wrapText="1"/>
    </xf>
    <xf numFmtId="0" fontId="14" fillId="3" borderId="6" xfId="2" applyFont="1" applyFill="1" applyBorder="1" applyAlignment="1">
      <alignment vertical="center" wrapText="1"/>
    </xf>
    <xf numFmtId="4" fontId="14" fillId="3" borderId="6" xfId="2" applyNumberFormat="1" applyFont="1" applyFill="1" applyBorder="1" applyAlignment="1">
      <alignment horizontal="center" vertical="center"/>
    </xf>
    <xf numFmtId="4" fontId="22" fillId="3" borderId="6" xfId="2" applyNumberFormat="1" applyFont="1" applyFill="1" applyBorder="1" applyAlignment="1">
      <alignment horizontal="center" vertical="center"/>
    </xf>
    <xf numFmtId="0" fontId="6" fillId="3" borderId="6" xfId="3" applyFont="1" applyFill="1" applyBorder="1" applyAlignment="1">
      <alignment horizontal="center" vertical="center" wrapText="1"/>
    </xf>
    <xf numFmtId="0" fontId="23" fillId="3" borderId="6" xfId="2" applyFont="1" applyFill="1" applyBorder="1" applyAlignment="1">
      <alignment vertical="top" wrapText="1"/>
    </xf>
    <xf numFmtId="0" fontId="10" fillId="3" borderId="6" xfId="0" applyFont="1" applyFill="1" applyBorder="1" applyAlignment="1">
      <alignment horizontal="left" wrapText="1"/>
    </xf>
    <xf numFmtId="165" fontId="18" fillId="3" borderId="6" xfId="0" applyNumberFormat="1" applyFont="1" applyFill="1" applyBorder="1" applyAlignment="1">
      <alignment horizontal="center" vertical="center"/>
    </xf>
    <xf numFmtId="2" fontId="18" fillId="3" borderId="6" xfId="0" applyNumberFormat="1" applyFont="1" applyFill="1" applyBorder="1" applyAlignment="1">
      <alignment horizontal="center" vertical="center"/>
    </xf>
    <xf numFmtId="43" fontId="14" fillId="3" borderId="6" xfId="1" applyFont="1" applyFill="1" applyBorder="1" applyAlignment="1">
      <alignment horizontal="center" vertical="center"/>
    </xf>
    <xf numFmtId="165" fontId="19" fillId="3" borderId="6" xfId="0" applyNumberFormat="1" applyFont="1" applyFill="1" applyBorder="1" applyAlignment="1">
      <alignment horizontal="center" vertical="center"/>
    </xf>
    <xf numFmtId="2" fontId="19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165" fontId="5" fillId="3" borderId="6" xfId="0" applyNumberFormat="1" applyFont="1" applyFill="1" applyBorder="1" applyAlignment="1">
      <alignment horizontal="center" vertical="center"/>
    </xf>
    <xf numFmtId="43" fontId="6" fillId="3" borderId="6" xfId="1" applyFont="1" applyFill="1" applyBorder="1" applyAlignment="1">
      <alignment horizontal="center"/>
    </xf>
    <xf numFmtId="43" fontId="10" fillId="3" borderId="6" xfId="1" applyFont="1" applyFill="1" applyBorder="1" applyAlignment="1">
      <alignment horizontal="center"/>
    </xf>
    <xf numFmtId="0" fontId="10" fillId="3" borderId="6" xfId="0" applyFont="1" applyFill="1" applyBorder="1" applyAlignment="1">
      <alignment horizontal="left" vertical="center" wrapText="1"/>
    </xf>
    <xf numFmtId="164" fontId="8" fillId="3" borderId="6" xfId="1" applyNumberFormat="1" applyFont="1" applyFill="1" applyBorder="1" applyAlignment="1">
      <alignment horizontal="center"/>
    </xf>
    <xf numFmtId="165" fontId="3" fillId="0" borderId="6" xfId="0" applyNumberFormat="1" applyFont="1" applyBorder="1" applyAlignment="1">
      <alignment horizontal="center" vertical="center"/>
    </xf>
    <xf numFmtId="0" fontId="6" fillId="0" borderId="6" xfId="20" applyFont="1" applyBorder="1"/>
    <xf numFmtId="165" fontId="18" fillId="0" borderId="6" xfId="0" applyNumberFormat="1" applyFont="1" applyBorder="1" applyAlignment="1">
      <alignment horizontal="center" vertical="center"/>
    </xf>
    <xf numFmtId="43" fontId="14" fillId="3" borderId="6" xfId="1" applyFont="1" applyFill="1" applyBorder="1" applyAlignment="1">
      <alignment horizontal="center"/>
    </xf>
    <xf numFmtId="165" fontId="19" fillId="0" borderId="6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top"/>
    </xf>
    <xf numFmtId="0" fontId="5" fillId="2" borderId="6" xfId="0" applyFont="1" applyFill="1" applyBorder="1"/>
    <xf numFmtId="0" fontId="18" fillId="0" borderId="6" xfId="2" applyFont="1" applyFill="1" applyBorder="1" applyAlignment="1">
      <alignment horizontal="left" vertical="center" wrapText="1"/>
    </xf>
    <xf numFmtId="4" fontId="18" fillId="0" borderId="6" xfId="2" applyNumberFormat="1" applyFont="1" applyFill="1" applyBorder="1" applyAlignment="1">
      <alignment horizontal="center" vertical="center"/>
    </xf>
    <xf numFmtId="4" fontId="18" fillId="3" borderId="6" xfId="2" applyNumberFormat="1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left" wrapText="1"/>
    </xf>
    <xf numFmtId="4" fontId="5" fillId="3" borderId="6" xfId="2" applyNumberFormat="1" applyFont="1" applyFill="1" applyBorder="1" applyAlignment="1">
      <alignment horizontal="center" vertical="center"/>
    </xf>
    <xf numFmtId="0" fontId="18" fillId="0" borderId="6" xfId="2" applyFont="1" applyBorder="1" applyAlignment="1">
      <alignment horizontal="left" wrapText="1"/>
    </xf>
    <xf numFmtId="0" fontId="5" fillId="0" borderId="6" xfId="2" applyFont="1" applyBorder="1" applyAlignment="1">
      <alignment horizontal="left" wrapText="1"/>
    </xf>
    <xf numFmtId="165" fontId="3" fillId="0" borderId="6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justify" wrapText="1"/>
    </xf>
    <xf numFmtId="0" fontId="18" fillId="0" borderId="6" xfId="0" applyFont="1" applyBorder="1" applyAlignment="1">
      <alignment horizontal="center" wrapText="1"/>
    </xf>
    <xf numFmtId="2" fontId="18" fillId="0" borderId="6" xfId="0" applyNumberFormat="1" applyFont="1" applyBorder="1" applyAlignment="1">
      <alignment horizontal="center" vertical="top"/>
    </xf>
    <xf numFmtId="0" fontId="19" fillId="0" borderId="6" xfId="0" applyFont="1" applyBorder="1" applyAlignment="1">
      <alignment horizontal="center" wrapText="1"/>
    </xf>
    <xf numFmtId="0" fontId="18" fillId="0" borderId="6" xfId="0" applyFont="1" applyBorder="1" applyAlignment="1">
      <alignment horizontal="center" vertical="top" wrapText="1"/>
    </xf>
    <xf numFmtId="165" fontId="18" fillId="0" borderId="6" xfId="0" applyNumberFormat="1" applyFont="1" applyBorder="1" applyAlignment="1">
      <alignment horizontal="center"/>
    </xf>
    <xf numFmtId="4" fontId="10" fillId="0" borderId="6" xfId="2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center" vertical="top"/>
    </xf>
    <xf numFmtId="4" fontId="6" fillId="0" borderId="6" xfId="2" applyNumberFormat="1" applyFont="1" applyFill="1" applyBorder="1" applyAlignment="1">
      <alignment horizontal="center"/>
    </xf>
    <xf numFmtId="0" fontId="5" fillId="3" borderId="6" xfId="2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2" fontId="8" fillId="2" borderId="6" xfId="20" applyNumberFormat="1" applyFont="1" applyFill="1" applyBorder="1" applyAlignment="1">
      <alignment vertical="center"/>
    </xf>
    <xf numFmtId="0" fontId="3" fillId="0" borderId="6" xfId="0" applyFont="1" applyBorder="1"/>
    <xf numFmtId="2" fontId="3" fillId="0" borderId="6" xfId="0" applyNumberFormat="1" applyFont="1" applyBorder="1" applyAlignment="1">
      <alignment horizontal="center"/>
    </xf>
    <xf numFmtId="2" fontId="3" fillId="0" borderId="6" xfId="0" applyNumberFormat="1" applyFont="1" applyBorder="1"/>
    <xf numFmtId="165" fontId="8" fillId="3" borderId="6" xfId="0" applyNumberFormat="1" applyFont="1" applyFill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justify" vertical="top" wrapText="1"/>
    </xf>
    <xf numFmtId="0" fontId="13" fillId="3" borderId="6" xfId="3" applyFont="1" applyFill="1" applyBorder="1" applyAlignment="1">
      <alignment wrapText="1"/>
    </xf>
    <xf numFmtId="0" fontId="5" fillId="3" borderId="6" xfId="0" applyFont="1" applyFill="1" applyBorder="1" applyAlignment="1">
      <alignment horizontal="justify" vertical="top"/>
    </xf>
    <xf numFmtId="169" fontId="18" fillId="0" borderId="6" xfId="0" applyNumberFormat="1" applyFont="1" applyBorder="1" applyAlignment="1">
      <alignment horizontal="center" vertical="center" wrapText="1"/>
    </xf>
    <xf numFmtId="166" fontId="18" fillId="0" borderId="6" xfId="0" applyNumberFormat="1" applyFont="1" applyBorder="1" applyAlignment="1">
      <alignment horizontal="center" vertical="center" wrapText="1"/>
    </xf>
    <xf numFmtId="166" fontId="6" fillId="0" borderId="0" xfId="2" applyNumberFormat="1" applyFont="1"/>
    <xf numFmtId="4" fontId="6" fillId="0" borderId="0" xfId="2" applyNumberFormat="1" applyFont="1"/>
    <xf numFmtId="0" fontId="5" fillId="3" borderId="6" xfId="4" applyFont="1" applyFill="1" applyBorder="1" applyAlignment="1">
      <alignment vertical="top" wrapText="1"/>
    </xf>
    <xf numFmtId="170" fontId="6" fillId="0" borderId="0" xfId="2" applyNumberFormat="1" applyFont="1"/>
    <xf numFmtId="4" fontId="3" fillId="3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2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vertical="center"/>
    </xf>
    <xf numFmtId="0" fontId="15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4" fontId="8" fillId="0" borderId="6" xfId="2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vertical="center" wrapText="1"/>
    </xf>
    <xf numFmtId="0" fontId="10" fillId="0" borderId="6" xfId="2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justify" vertical="center" wrapText="1"/>
    </xf>
    <xf numFmtId="0" fontId="7" fillId="0" borderId="6" xfId="8" applyNumberFormat="1" applyFont="1" applyBorder="1" applyAlignment="1">
      <alignment horizontal="center" wrapText="1"/>
    </xf>
    <xf numFmtId="0" fontId="6" fillId="3" borderId="6" xfId="8" applyNumberFormat="1" applyFont="1" applyFill="1" applyBorder="1" applyAlignment="1">
      <alignment horizontal="center" vertical="center" wrapText="1"/>
    </xf>
    <xf numFmtId="2" fontId="6" fillId="0" borderId="6" xfId="8" applyNumberFormat="1" applyFont="1" applyFill="1" applyBorder="1" applyAlignment="1">
      <alignment horizontal="center" vertical="center" wrapText="1"/>
    </xf>
    <xf numFmtId="0" fontId="6" fillId="0" borderId="6" xfId="8" applyNumberFormat="1" applyFont="1" applyBorder="1" applyAlignment="1">
      <alignment horizontal="center" vertical="center" wrapText="1"/>
    </xf>
    <xf numFmtId="165" fontId="7" fillId="0" borderId="6" xfId="8" applyNumberFormat="1" applyFont="1" applyBorder="1" applyAlignment="1">
      <alignment horizontal="center" wrapText="1"/>
    </xf>
    <xf numFmtId="2" fontId="7" fillId="0" borderId="6" xfId="8" applyNumberFormat="1" applyFont="1" applyBorder="1" applyAlignment="1">
      <alignment horizontal="center" wrapText="1"/>
    </xf>
    <xf numFmtId="1" fontId="7" fillId="0" borderId="6" xfId="8" applyNumberFormat="1" applyFont="1" applyBorder="1" applyAlignment="1">
      <alignment horizontal="center" vertical="center" wrapText="1"/>
    </xf>
    <xf numFmtId="1" fontId="7" fillId="0" borderId="6" xfId="8" applyNumberFormat="1" applyFont="1" applyBorder="1" applyAlignment="1">
      <alignment horizontal="center" wrapText="1"/>
    </xf>
    <xf numFmtId="0" fontId="6" fillId="7" borderId="6" xfId="8" applyNumberFormat="1" applyFont="1" applyFill="1" applyBorder="1" applyAlignment="1">
      <alignment horizontal="center" vertical="center" wrapText="1"/>
    </xf>
    <xf numFmtId="0" fontId="7" fillId="3" borderId="6" xfId="8" applyNumberFormat="1" applyFont="1" applyFill="1" applyBorder="1" applyAlignment="1">
      <alignment horizontal="center" vertical="center" wrapText="1"/>
    </xf>
    <xf numFmtId="0" fontId="6" fillId="3" borderId="6" xfId="8" applyNumberFormat="1" applyFont="1" applyFill="1" applyBorder="1" applyAlignment="1">
      <alignment horizontal="left" vertical="center" wrapText="1"/>
    </xf>
    <xf numFmtId="1" fontId="7" fillId="3" borderId="6" xfId="8" applyNumberFormat="1" applyFont="1" applyFill="1" applyBorder="1" applyAlignment="1">
      <alignment horizontal="center" wrapText="1"/>
    </xf>
    <xf numFmtId="0" fontId="6" fillId="3" borderId="6" xfId="8" applyNumberFormat="1" applyFont="1" applyFill="1" applyBorder="1" applyAlignment="1">
      <alignment horizontal="center" wrapText="1"/>
    </xf>
    <xf numFmtId="0" fontId="7" fillId="3" borderId="6" xfId="8" applyNumberFormat="1" applyFont="1" applyFill="1" applyBorder="1" applyAlignment="1">
      <alignment horizontal="center" vertical="top" wrapText="1"/>
    </xf>
    <xf numFmtId="0" fontId="7" fillId="3" borderId="6" xfId="8" applyNumberFormat="1" applyFont="1" applyFill="1" applyBorder="1" applyAlignment="1">
      <alignment horizontal="center" wrapText="1"/>
    </xf>
    <xf numFmtId="2" fontId="7" fillId="3" borderId="6" xfId="8" applyNumberFormat="1" applyFont="1" applyFill="1" applyBorder="1" applyAlignment="1">
      <alignment horizontal="center" wrapText="1"/>
    </xf>
    <xf numFmtId="165" fontId="7" fillId="3" borderId="6" xfId="8" applyNumberFormat="1" applyFont="1" applyFill="1" applyBorder="1" applyAlignment="1">
      <alignment horizontal="center" wrapText="1"/>
    </xf>
    <xf numFmtId="1" fontId="6" fillId="3" borderId="6" xfId="8" applyNumberFormat="1" applyFont="1" applyFill="1" applyBorder="1" applyAlignment="1">
      <alignment horizontal="center" wrapText="1"/>
    </xf>
    <xf numFmtId="165" fontId="7" fillId="3" borderId="6" xfId="8" applyNumberFormat="1" applyFont="1" applyFill="1" applyBorder="1" applyAlignment="1">
      <alignment horizontal="center" vertical="center" wrapText="1"/>
    </xf>
    <xf numFmtId="43" fontId="6" fillId="3" borderId="6" xfId="1" applyFont="1" applyFill="1" applyBorder="1" applyAlignment="1"/>
    <xf numFmtId="43" fontId="6" fillId="3" borderId="6" xfId="1" applyFont="1" applyFill="1" applyBorder="1" applyAlignment="1">
      <alignment vertical="center"/>
    </xf>
    <xf numFmtId="0" fontId="6" fillId="0" borderId="5" xfId="2" applyFont="1" applyBorder="1" applyAlignment="1">
      <alignment horizontal="left" wrapText="1"/>
    </xf>
    <xf numFmtId="4" fontId="8" fillId="3" borderId="6" xfId="2" applyNumberFormat="1" applyFont="1" applyFill="1" applyBorder="1" applyAlignment="1">
      <alignment horizontal="center" vertical="top"/>
    </xf>
    <xf numFmtId="4" fontId="6" fillId="0" borderId="6" xfId="3" applyNumberFormat="1" applyFont="1" applyBorder="1" applyAlignment="1">
      <alignment horizontal="center" vertical="center" wrapText="1"/>
    </xf>
    <xf numFmtId="3" fontId="6" fillId="3" borderId="6" xfId="3" applyNumberFormat="1" applyFont="1" applyFill="1" applyBorder="1" applyAlignment="1">
      <alignment horizontal="center" vertical="center" wrapText="1"/>
    </xf>
    <xf numFmtId="4" fontId="7" fillId="0" borderId="6" xfId="3" applyNumberFormat="1" applyFont="1" applyBorder="1" applyAlignment="1">
      <alignment horizontal="center" vertical="center"/>
    </xf>
    <xf numFmtId="4" fontId="5" fillId="3" borderId="6" xfId="3" applyNumberFormat="1" applyFont="1" applyFill="1" applyBorder="1" applyAlignment="1">
      <alignment horizontal="center" vertical="center"/>
    </xf>
    <xf numFmtId="4" fontId="13" fillId="0" borderId="6" xfId="0" applyNumberFormat="1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3" fontId="5" fillId="3" borderId="6" xfId="0" applyNumberFormat="1" applyFont="1" applyFill="1" applyBorder="1" applyAlignment="1">
      <alignment horizontal="center" vertical="center" wrapText="1"/>
    </xf>
    <xf numFmtId="3" fontId="6" fillId="3" borderId="6" xfId="0" applyNumberFormat="1" applyFont="1" applyFill="1" applyBorder="1" applyAlignment="1">
      <alignment horizontal="center" vertical="center" wrapText="1"/>
    </xf>
    <xf numFmtId="3" fontId="6" fillId="0" borderId="6" xfId="3" applyNumberFormat="1" applyFont="1" applyBorder="1" applyAlignment="1">
      <alignment horizontal="center" vertical="center" wrapText="1"/>
    </xf>
    <xf numFmtId="0" fontId="6" fillId="3" borderId="6" xfId="3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wrapText="1"/>
    </xf>
    <xf numFmtId="0" fontId="20" fillId="3" borderId="6" xfId="0" applyFont="1" applyFill="1" applyBorder="1" applyAlignment="1">
      <alignment horizontal="justify" wrapText="1"/>
    </xf>
    <xf numFmtId="4" fontId="20" fillId="3" borderId="6" xfId="0" applyNumberFormat="1" applyFont="1" applyFill="1" applyBorder="1" applyAlignment="1">
      <alignment horizontal="center" vertical="center" wrapText="1"/>
    </xf>
    <xf numFmtId="2" fontId="3" fillId="3" borderId="6" xfId="0" applyNumberFormat="1" applyFont="1" applyFill="1" applyBorder="1" applyAlignment="1">
      <alignment horizontal="center" vertical="center"/>
    </xf>
    <xf numFmtId="165" fontId="6" fillId="3" borderId="6" xfId="0" applyNumberFormat="1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wrapText="1"/>
    </xf>
    <xf numFmtId="4" fontId="21" fillId="3" borderId="6" xfId="0" applyNumberFormat="1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justify" wrapText="1"/>
    </xf>
    <xf numFmtId="1" fontId="21" fillId="3" borderId="6" xfId="0" applyNumberFormat="1" applyFont="1" applyFill="1" applyBorder="1" applyAlignment="1">
      <alignment horizontal="center" vertical="center" wrapText="1"/>
    </xf>
    <xf numFmtId="166" fontId="21" fillId="3" borderId="6" xfId="0" applyNumberFormat="1" applyFont="1" applyFill="1" applyBorder="1" applyAlignment="1">
      <alignment horizontal="center" vertical="center" wrapText="1"/>
    </xf>
    <xf numFmtId="165" fontId="14" fillId="3" borderId="6" xfId="0" applyNumberFormat="1" applyFont="1" applyFill="1" applyBorder="1" applyAlignment="1">
      <alignment horizontal="center" vertical="center"/>
    </xf>
    <xf numFmtId="1" fontId="5" fillId="3" borderId="6" xfId="0" applyNumberFormat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wrapText="1"/>
    </xf>
    <xf numFmtId="165" fontId="3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49" fontId="5" fillId="3" borderId="6" xfId="0" applyNumberFormat="1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left" wrapText="1"/>
    </xf>
    <xf numFmtId="4" fontId="3" fillId="3" borderId="6" xfId="0" applyNumberFormat="1" applyFont="1" applyFill="1" applyBorder="1" applyAlignment="1">
      <alignment horizontal="center" wrapText="1"/>
    </xf>
    <xf numFmtId="0" fontId="18" fillId="3" borderId="6" xfId="0" applyFont="1" applyFill="1" applyBorder="1" applyAlignment="1">
      <alignment horizontal="left" wrapText="1"/>
    </xf>
    <xf numFmtId="165" fontId="5" fillId="3" borderId="6" xfId="0" applyNumberFormat="1" applyFont="1" applyFill="1" applyBorder="1" applyAlignment="1">
      <alignment horizontal="center" vertical="center" wrapText="1"/>
    </xf>
    <xf numFmtId="4" fontId="5" fillId="3" borderId="6" xfId="0" applyNumberFormat="1" applyFont="1" applyFill="1" applyBorder="1" applyAlignment="1">
      <alignment horizontal="center" wrapText="1"/>
    </xf>
    <xf numFmtId="0" fontId="13" fillId="3" borderId="6" xfId="0" applyFont="1" applyFill="1" applyBorder="1" applyAlignment="1">
      <alignment horizontal="left"/>
    </xf>
    <xf numFmtId="4" fontId="6" fillId="0" borderId="6" xfId="2" applyNumberFormat="1" applyFont="1" applyFill="1" applyBorder="1" applyAlignment="1">
      <alignment horizontal="center" vertical="center"/>
    </xf>
    <xf numFmtId="4" fontId="6" fillId="3" borderId="6" xfId="2" applyNumberFormat="1" applyFont="1" applyFill="1" applyBorder="1" applyAlignment="1">
      <alignment horizontal="center" vertical="center"/>
    </xf>
    <xf numFmtId="4" fontId="8" fillId="2" borderId="6" xfId="2" applyNumberFormat="1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left" vertical="center" wrapText="1"/>
    </xf>
    <xf numFmtId="0" fontId="6" fillId="3" borderId="6" xfId="2" applyFont="1" applyFill="1" applyBorder="1"/>
    <xf numFmtId="3" fontId="27" fillId="0" borderId="6" xfId="0" applyNumberFormat="1" applyFont="1" applyBorder="1" applyAlignment="1">
      <alignment horizontal="center" vertical="top" wrapText="1"/>
    </xf>
    <xf numFmtId="2" fontId="13" fillId="0" borderId="6" xfId="17" applyNumberFormat="1" applyFont="1" applyBorder="1" applyAlignment="1">
      <alignment horizontal="center" vertical="center" wrapText="1"/>
    </xf>
    <xf numFmtId="0" fontId="6" fillId="3" borderId="6" xfId="2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justify"/>
    </xf>
    <xf numFmtId="2" fontId="5" fillId="3" borderId="6" xfId="2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wrapText="1"/>
    </xf>
    <xf numFmtId="166" fontId="6" fillId="3" borderId="6" xfId="0" applyNumberFormat="1" applyFont="1" applyFill="1" applyBorder="1" applyAlignment="1">
      <alignment horizontal="center" vertical="center" wrapText="1"/>
    </xf>
    <xf numFmtId="166" fontId="8" fillId="2" borderId="6" xfId="2" applyNumberFormat="1" applyFont="1" applyFill="1" applyBorder="1" applyAlignment="1">
      <alignment horizontal="center" vertical="center" wrapText="1"/>
    </xf>
    <xf numFmtId="169" fontId="8" fillId="2" borderId="6" xfId="2" applyNumberFormat="1" applyFont="1" applyFill="1" applyBorder="1" applyAlignment="1">
      <alignment horizontal="center" vertical="center" wrapText="1"/>
    </xf>
    <xf numFmtId="169" fontId="8" fillId="0" borderId="6" xfId="2" applyNumberFormat="1" applyFont="1" applyFill="1" applyBorder="1" applyAlignment="1">
      <alignment horizontal="center" vertical="center" wrapText="1"/>
    </xf>
    <xf numFmtId="169" fontId="5" fillId="3" borderId="6" xfId="4" applyNumberFormat="1" applyFont="1" applyFill="1" applyBorder="1" applyAlignment="1">
      <alignment horizontal="center" vertical="center" wrapText="1"/>
    </xf>
    <xf numFmtId="166" fontId="6" fillId="3" borderId="6" xfId="2" applyNumberFormat="1" applyFont="1" applyFill="1" applyBorder="1" applyAlignment="1">
      <alignment horizontal="center" vertical="center"/>
    </xf>
    <xf numFmtId="2" fontId="5" fillId="0" borderId="6" xfId="2" applyNumberFormat="1" applyFont="1" applyBorder="1" applyAlignment="1">
      <alignment horizontal="center" vertical="center"/>
    </xf>
    <xf numFmtId="4" fontId="3" fillId="0" borderId="6" xfId="2" applyNumberFormat="1" applyFont="1" applyFill="1" applyBorder="1" applyAlignment="1">
      <alignment horizontal="center" vertical="center"/>
    </xf>
    <xf numFmtId="0" fontId="5" fillId="0" borderId="6" xfId="17" applyFont="1" applyBorder="1" applyAlignment="1">
      <alignment horizontal="left" vertical="top" wrapText="1"/>
    </xf>
    <xf numFmtId="4" fontId="13" fillId="3" borderId="10" xfId="6" applyNumberFormat="1" applyFont="1" applyFill="1" applyAlignment="1" applyProtection="1">
      <alignment horizontal="center" vertical="center" shrinkToFit="1"/>
    </xf>
    <xf numFmtId="171" fontId="6" fillId="0" borderId="0" xfId="2" applyNumberFormat="1" applyFont="1"/>
    <xf numFmtId="43" fontId="8" fillId="0" borderId="0" xfId="2" applyNumberFormat="1" applyFont="1"/>
    <xf numFmtId="4" fontId="6" fillId="0" borderId="6" xfId="17" applyNumberFormat="1" applyFont="1" applyBorder="1" applyAlignment="1">
      <alignment horizontal="center" vertical="center" wrapText="1"/>
    </xf>
    <xf numFmtId="4" fontId="8" fillId="2" borderId="5" xfId="2" applyNumberFormat="1" applyFont="1" applyFill="1" applyBorder="1" applyAlignment="1">
      <alignment horizontal="center" wrapText="1"/>
    </xf>
    <xf numFmtId="2" fontId="13" fillId="0" borderId="6" xfId="17" applyNumberFormat="1" applyFont="1" applyBorder="1" applyAlignment="1">
      <alignment horizontal="center" wrapText="1"/>
    </xf>
    <xf numFmtId="4" fontId="8" fillId="3" borderId="6" xfId="31" applyNumberFormat="1" applyFont="1" applyFill="1" applyBorder="1" applyAlignment="1">
      <alignment horizontal="center" vertical="center" wrapText="1"/>
    </xf>
    <xf numFmtId="4" fontId="6" fillId="3" borderId="6" xfId="3" applyNumberFormat="1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2" fontId="3" fillId="3" borderId="6" xfId="0" applyNumberFormat="1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wrapText="1"/>
    </xf>
    <xf numFmtId="2" fontId="3" fillId="5" borderId="6" xfId="0" applyNumberFormat="1" applyFont="1" applyFill="1" applyBorder="1" applyAlignment="1">
      <alignment horizontal="center" vertical="center" wrapText="1"/>
    </xf>
    <xf numFmtId="2" fontId="14" fillId="3" borderId="6" xfId="3" applyNumberFormat="1" applyFont="1" applyFill="1" applyBorder="1" applyAlignment="1">
      <alignment horizontal="center" vertical="center"/>
    </xf>
    <xf numFmtId="4" fontId="6" fillId="3" borderId="6" xfId="17" applyNumberFormat="1" applyFont="1" applyFill="1" applyBorder="1" applyAlignment="1">
      <alignment horizontal="center" vertical="center" wrapText="1"/>
    </xf>
    <xf numFmtId="0" fontId="19" fillId="0" borderId="6" xfId="17" applyFont="1" applyBorder="1" applyAlignment="1">
      <alignment horizontal="center" wrapText="1"/>
    </xf>
    <xf numFmtId="0" fontId="5" fillId="0" borderId="6" xfId="17" applyFont="1" applyBorder="1" applyAlignment="1">
      <alignment horizontal="left" wrapText="1"/>
    </xf>
    <xf numFmtId="2" fontId="5" fillId="0" borderId="6" xfId="17" applyNumberFormat="1" applyFont="1" applyBorder="1" applyAlignment="1">
      <alignment horizontal="center" vertical="top"/>
    </xf>
    <xf numFmtId="0" fontId="14" fillId="0" borderId="6" xfId="17" applyFont="1" applyBorder="1" applyAlignment="1">
      <alignment horizontal="center" vertical="top" wrapText="1"/>
    </xf>
    <xf numFmtId="2" fontId="6" fillId="0" borderId="6" xfId="100" applyNumberFormat="1" applyFont="1" applyFill="1" applyBorder="1" applyAlignment="1">
      <alignment horizontal="center" vertical="center"/>
    </xf>
    <xf numFmtId="4" fontId="6" fillId="3" borderId="5" xfId="2" applyNumberFormat="1" applyFont="1" applyFill="1" applyBorder="1" applyAlignment="1">
      <alignment horizontal="center" vertical="center" wrapText="1"/>
    </xf>
    <xf numFmtId="0" fontId="8" fillId="0" borderId="6" xfId="20" applyFont="1" applyFill="1" applyBorder="1" applyAlignment="1">
      <alignment horizontal="center"/>
    </xf>
    <xf numFmtId="49" fontId="6" fillId="0" borderId="6" xfId="20" applyNumberFormat="1" applyFont="1" applyFill="1" applyBorder="1" applyAlignment="1">
      <alignment horizontal="center" vertical="center"/>
    </xf>
    <xf numFmtId="4" fontId="6" fillId="3" borderId="6" xfId="20" applyNumberFormat="1" applyFont="1" applyFill="1" applyBorder="1" applyAlignment="1">
      <alignment horizontal="center" vertical="center"/>
    </xf>
    <xf numFmtId="49" fontId="8" fillId="0" borderId="6" xfId="20" applyNumberFormat="1" applyFont="1" applyFill="1" applyBorder="1" applyAlignment="1">
      <alignment horizontal="center" vertical="center"/>
    </xf>
    <xf numFmtId="0" fontId="8" fillId="0" borderId="6" xfId="20" applyFont="1" applyFill="1" applyBorder="1" applyAlignment="1">
      <alignment horizontal="center" vertical="center"/>
    </xf>
    <xf numFmtId="0" fontId="6" fillId="0" borderId="6" xfId="20" applyFont="1" applyFill="1" applyBorder="1" applyAlignment="1">
      <alignment wrapText="1"/>
    </xf>
    <xf numFmtId="0" fontId="6" fillId="3" borderId="6" xfId="20" applyFont="1" applyFill="1" applyBorder="1" applyAlignment="1">
      <alignment wrapText="1"/>
    </xf>
    <xf numFmtId="0" fontId="32" fillId="0" borderId="6" xfId="20" applyFont="1" applyFill="1" applyBorder="1" applyAlignment="1">
      <alignment horizontal="center"/>
    </xf>
    <xf numFmtId="4" fontId="18" fillId="3" borderId="6" xfId="0" applyNumberFormat="1" applyFont="1" applyFill="1" applyBorder="1" applyAlignment="1">
      <alignment horizontal="center" vertical="center"/>
    </xf>
    <xf numFmtId="4" fontId="18" fillId="3" borderId="6" xfId="0" applyNumberFormat="1" applyFont="1" applyFill="1" applyBorder="1" applyAlignment="1">
      <alignment horizontal="center" vertical="center" wrapText="1"/>
    </xf>
    <xf numFmtId="4" fontId="19" fillId="3" borderId="6" xfId="0" applyNumberFormat="1" applyFont="1" applyFill="1" applyBorder="1" applyAlignment="1">
      <alignment horizontal="center" vertical="center"/>
    </xf>
    <xf numFmtId="0" fontId="6" fillId="3" borderId="6" xfId="20" applyFont="1" applyFill="1" applyBorder="1" applyAlignment="1">
      <alignment horizontal="left" vertical="center" wrapText="1"/>
    </xf>
    <xf numFmtId="0" fontId="19" fillId="3" borderId="6" xfId="0" applyFont="1" applyFill="1" applyBorder="1" applyAlignment="1">
      <alignment horizontal="left" vertical="center" wrapText="1"/>
    </xf>
    <xf numFmtId="0" fontId="18" fillId="3" borderId="6" xfId="0" applyFont="1" applyFill="1" applyBorder="1" applyAlignment="1">
      <alignment horizontal="left" vertical="center"/>
    </xf>
    <xf numFmtId="0" fontId="18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/>
    </xf>
    <xf numFmtId="0" fontId="6" fillId="7" borderId="0" xfId="0" applyFont="1" applyFill="1"/>
    <xf numFmtId="0" fontId="6" fillId="7" borderId="0" xfId="0" applyFont="1" applyFill="1" applyAlignment="1">
      <alignment horizontal="right"/>
    </xf>
    <xf numFmtId="0" fontId="6" fillId="7" borderId="6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  <xf numFmtId="0" fontId="6" fillId="7" borderId="6" xfId="0" applyFont="1" applyFill="1" applyBorder="1" applyAlignment="1">
      <alignment horizontal="justify"/>
    </xf>
    <xf numFmtId="4" fontId="6" fillId="3" borderId="6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7" borderId="6" xfId="0" applyFont="1" applyFill="1" applyBorder="1"/>
    <xf numFmtId="0" fontId="8" fillId="0" borderId="6" xfId="2" applyFont="1" applyFill="1" applyBorder="1" applyAlignment="1">
      <alignment horizontal="center"/>
    </xf>
    <xf numFmtId="172" fontId="8" fillId="2" borderId="6" xfId="1" applyNumberFormat="1" applyFont="1" applyFill="1" applyBorder="1" applyAlignment="1">
      <alignment vertical="center" wrapText="1"/>
    </xf>
    <xf numFmtId="2" fontId="34" fillId="0" borderId="6" xfId="17" applyNumberFormat="1" applyFont="1" applyBorder="1" applyAlignment="1">
      <alignment horizontal="center" wrapText="1"/>
    </xf>
    <xf numFmtId="4" fontId="8" fillId="3" borderId="16" xfId="2" applyNumberFormat="1" applyFont="1" applyFill="1" applyBorder="1" applyAlignment="1">
      <alignment horizontal="center" vertical="top"/>
    </xf>
    <xf numFmtId="4" fontId="6" fillId="3" borderId="6" xfId="2" applyNumberFormat="1" applyFont="1" applyFill="1" applyBorder="1" applyAlignment="1">
      <alignment horizontal="center"/>
    </xf>
    <xf numFmtId="2" fontId="5" fillId="3" borderId="7" xfId="2" applyNumberFormat="1" applyFont="1" applyFill="1" applyBorder="1" applyAlignment="1">
      <alignment horizontal="center"/>
    </xf>
    <xf numFmtId="4" fontId="6" fillId="0" borderId="5" xfId="2" applyNumberFormat="1" applyFont="1" applyFill="1" applyBorder="1" applyAlignment="1">
      <alignment horizontal="center" vertical="center" wrapText="1"/>
    </xf>
    <xf numFmtId="4" fontId="8" fillId="3" borderId="5" xfId="2" applyNumberFormat="1" applyFont="1" applyFill="1" applyBorder="1" applyAlignment="1">
      <alignment horizontal="center" vertical="center" wrapText="1"/>
    </xf>
    <xf numFmtId="4" fontId="3" fillId="2" borderId="6" xfId="24" applyNumberFormat="1" applyFont="1" applyFill="1" applyBorder="1" applyAlignment="1">
      <alignment horizontal="center" vertical="center" wrapText="1"/>
    </xf>
    <xf numFmtId="4" fontId="3" fillId="2" borderId="6" xfId="24" applyNumberFormat="1" applyFont="1" applyFill="1" applyBorder="1" applyAlignment="1">
      <alignment horizontal="center" vertical="center"/>
    </xf>
    <xf numFmtId="4" fontId="18" fillId="3" borderId="6" xfId="24" applyNumberFormat="1" applyFont="1" applyFill="1" applyBorder="1" applyAlignment="1">
      <alignment horizontal="center" vertical="center" wrapText="1"/>
    </xf>
    <xf numFmtId="4" fontId="5" fillId="5" borderId="6" xfId="24" applyNumberFormat="1" applyFont="1" applyFill="1" applyBorder="1" applyAlignment="1">
      <alignment horizontal="center" vertical="center"/>
    </xf>
    <xf numFmtId="4" fontId="5" fillId="3" borderId="6" xfId="24" applyNumberFormat="1" applyFont="1" applyFill="1" applyBorder="1" applyAlignment="1">
      <alignment horizontal="center" vertical="center"/>
    </xf>
    <xf numFmtId="4" fontId="19" fillId="3" borderId="6" xfId="24" applyNumberFormat="1" applyFont="1" applyFill="1" applyBorder="1" applyAlignment="1">
      <alignment horizontal="center" vertical="center"/>
    </xf>
    <xf numFmtId="0" fontId="5" fillId="5" borderId="6" xfId="24" applyFont="1" applyFill="1" applyBorder="1" applyAlignment="1">
      <alignment vertical="center" wrapText="1"/>
    </xf>
    <xf numFmtId="0" fontId="19" fillId="3" borderId="6" xfId="24" applyFont="1" applyFill="1" applyBorder="1" applyAlignment="1">
      <alignment horizontal="left" vertical="center" wrapText="1"/>
    </xf>
    <xf numFmtId="2" fontId="6" fillId="0" borderId="6" xfId="2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wrapText="1"/>
    </xf>
    <xf numFmtId="4" fontId="8" fillId="2" borderId="6" xfId="2" applyNumberFormat="1" applyFont="1" applyFill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2" fontId="6" fillId="0" borderId="6" xfId="2" applyNumberFormat="1" applyFont="1" applyFill="1" applyBorder="1" applyAlignment="1">
      <alignment horizontal="center" vertical="center"/>
    </xf>
    <xf numFmtId="2" fontId="8" fillId="2" borderId="6" xfId="0" applyNumberFormat="1" applyFont="1" applyFill="1" applyBorder="1" applyAlignment="1">
      <alignment horizontal="center" vertical="center" wrapText="1"/>
    </xf>
    <xf numFmtId="2" fontId="8" fillId="3" borderId="6" xfId="0" applyNumberFormat="1" applyFont="1" applyFill="1" applyBorder="1" applyAlignment="1">
      <alignment horizontal="center" vertical="center" wrapText="1"/>
    </xf>
    <xf numFmtId="2" fontId="6" fillId="3" borderId="6" xfId="0" applyNumberFormat="1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/>
    </xf>
    <xf numFmtId="167" fontId="6" fillId="3" borderId="6" xfId="2" applyNumberFormat="1" applyFont="1" applyFill="1" applyBorder="1" applyAlignment="1">
      <alignment horizontal="center" vertical="center"/>
    </xf>
    <xf numFmtId="167" fontId="8" fillId="3" borderId="6" xfId="2" applyNumberFormat="1" applyFont="1" applyFill="1" applyBorder="1" applyAlignment="1">
      <alignment horizontal="center" vertical="center"/>
    </xf>
    <xf numFmtId="167" fontId="6" fillId="3" borderId="6" xfId="0" applyNumberFormat="1" applyFont="1" applyFill="1" applyBorder="1" applyAlignment="1">
      <alignment horizontal="center" vertical="center" wrapText="1"/>
    </xf>
    <xf numFmtId="167" fontId="6" fillId="3" borderId="6" xfId="0" applyNumberFormat="1" applyFont="1" applyFill="1" applyBorder="1" applyAlignment="1">
      <alignment horizontal="center" vertical="center"/>
    </xf>
    <xf numFmtId="167" fontId="8" fillId="3" borderId="6" xfId="0" applyNumberFormat="1" applyFont="1" applyFill="1" applyBorder="1" applyAlignment="1">
      <alignment horizontal="center" vertical="center"/>
    </xf>
    <xf numFmtId="2" fontId="8" fillId="0" borderId="6" xfId="2" applyNumberFormat="1" applyFont="1" applyFill="1" applyBorder="1" applyAlignment="1">
      <alignment horizontal="center" vertical="center"/>
    </xf>
    <xf numFmtId="2" fontId="8" fillId="5" borderId="6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2" fontId="6" fillId="5" borderId="6" xfId="0" applyNumberFormat="1" applyFont="1" applyFill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top"/>
    </xf>
    <xf numFmtId="2" fontId="6" fillId="5" borderId="6" xfId="0" applyNumberFormat="1" applyFont="1" applyFill="1" applyBorder="1" applyAlignment="1">
      <alignment horizontal="center" vertical="top" wrapText="1"/>
    </xf>
    <xf numFmtId="2" fontId="5" fillId="0" borderId="6" xfId="17" applyNumberFormat="1" applyFont="1" applyBorder="1" applyAlignment="1">
      <alignment horizontal="center" vertical="center"/>
    </xf>
    <xf numFmtId="0" fontId="6" fillId="7" borderId="0" xfId="7" applyFont="1" applyFill="1"/>
    <xf numFmtId="0" fontId="6" fillId="7" borderId="0" xfId="7" applyFont="1" applyFill="1" applyAlignment="1">
      <alignment horizontal="center"/>
    </xf>
    <xf numFmtId="0" fontId="6" fillId="7" borderId="0" xfId="7" applyFont="1" applyFill="1" applyAlignment="1">
      <alignment vertical="center"/>
    </xf>
    <xf numFmtId="0" fontId="6" fillId="7" borderId="6" xfId="7" applyFont="1" applyFill="1" applyBorder="1" applyAlignment="1">
      <alignment horizontal="center" vertical="center"/>
    </xf>
    <xf numFmtId="0" fontId="6" fillId="7" borderId="7" xfId="7" applyFont="1" applyFill="1" applyBorder="1" applyAlignment="1">
      <alignment horizontal="center" vertical="center"/>
    </xf>
    <xf numFmtId="165" fontId="8" fillId="2" borderId="6" xfId="7" applyNumberFormat="1" applyFont="1" applyFill="1" applyBorder="1" applyAlignment="1">
      <alignment horizontal="center" vertical="center"/>
    </xf>
    <xf numFmtId="0" fontId="6" fillId="7" borderId="6" xfId="7" applyFont="1" applyFill="1" applyBorder="1" applyAlignment="1">
      <alignment vertical="center"/>
    </xf>
    <xf numFmtId="0" fontId="7" fillId="7" borderId="6" xfId="7" applyFont="1" applyFill="1" applyBorder="1" applyAlignment="1">
      <alignment horizontal="left" vertical="center" wrapText="1"/>
    </xf>
    <xf numFmtId="0" fontId="7" fillId="7" borderId="6" xfId="7" applyFont="1" applyFill="1" applyBorder="1" applyAlignment="1">
      <alignment horizontal="center" vertical="center"/>
    </xf>
    <xf numFmtId="2" fontId="13" fillId="0" borderId="6" xfId="7" applyNumberFormat="1" applyFont="1" applyBorder="1" applyAlignment="1">
      <alignment horizontal="center" vertical="center"/>
    </xf>
    <xf numFmtId="165" fontId="6" fillId="7" borderId="6" xfId="7" applyNumberFormat="1" applyFont="1" applyFill="1" applyBorder="1" applyAlignment="1">
      <alignment horizontal="center" vertical="center"/>
    </xf>
    <xf numFmtId="2" fontId="8" fillId="7" borderId="6" xfId="7" applyNumberFormat="1" applyFont="1" applyFill="1" applyBorder="1" applyAlignment="1">
      <alignment vertical="center"/>
    </xf>
    <xf numFmtId="0" fontId="8" fillId="7" borderId="0" xfId="7" applyFont="1" applyFill="1" applyAlignment="1">
      <alignment vertical="center"/>
    </xf>
    <xf numFmtId="4" fontId="13" fillId="0" borderId="5" xfId="0" applyNumberFormat="1" applyFont="1" applyBorder="1" applyAlignment="1">
      <alignment horizontal="center" vertical="top"/>
    </xf>
    <xf numFmtId="0" fontId="6" fillId="7" borderId="6" xfId="7" applyFont="1" applyFill="1" applyBorder="1"/>
    <xf numFmtId="0" fontId="13" fillId="0" borderId="6" xfId="7" applyFont="1" applyBorder="1" applyAlignment="1">
      <alignment horizontal="left" vertical="center" wrapText="1"/>
    </xf>
    <xf numFmtId="0" fontId="13" fillId="0" borderId="6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6" xfId="7" applyFont="1" applyBorder="1" applyAlignment="1">
      <alignment horizontal="center" vertical="center" wrapText="1"/>
    </xf>
    <xf numFmtId="165" fontId="13" fillId="0" borderId="6" xfId="7" applyNumberFormat="1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2" fontId="6" fillId="7" borderId="6" xfId="7" applyNumberFormat="1" applyFont="1" applyFill="1" applyBorder="1" applyAlignment="1">
      <alignment horizontal="center" vertical="center"/>
    </xf>
    <xf numFmtId="0" fontId="7" fillId="7" borderId="6" xfId="7" applyFont="1" applyFill="1" applyBorder="1" applyAlignment="1">
      <alignment horizontal="center" vertical="center" wrapText="1"/>
    </xf>
    <xf numFmtId="0" fontId="7" fillId="7" borderId="6" xfId="7" applyFont="1" applyFill="1" applyBorder="1" applyAlignment="1">
      <alignment horizontal="left" vertical="top" wrapText="1"/>
    </xf>
    <xf numFmtId="0" fontId="7" fillId="7" borderId="6" xfId="7" applyFont="1" applyFill="1" applyBorder="1" applyAlignment="1">
      <alignment horizontal="center" vertical="top"/>
    </xf>
    <xf numFmtId="0" fontId="13" fillId="0" borderId="6" xfId="7" applyFont="1" applyFill="1" applyBorder="1" applyAlignment="1">
      <alignment horizontal="center" vertical="top"/>
    </xf>
    <xf numFmtId="0" fontId="6" fillId="0" borderId="6" xfId="7" applyFont="1" applyFill="1" applyBorder="1" applyAlignment="1">
      <alignment horizontal="center" vertical="center"/>
    </xf>
    <xf numFmtId="0" fontId="7" fillId="0" borderId="6" xfId="7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top"/>
    </xf>
    <xf numFmtId="0" fontId="6" fillId="7" borderId="6" xfId="7" applyFont="1" applyFill="1" applyBorder="1" applyAlignment="1">
      <alignment horizontal="justify" vertical="top" wrapText="1"/>
    </xf>
    <xf numFmtId="0" fontId="13" fillId="0" borderId="6" xfId="7" applyFont="1" applyBorder="1" applyAlignment="1">
      <alignment horizontal="left" vertical="top" wrapText="1"/>
    </xf>
    <xf numFmtId="0" fontId="13" fillId="0" borderId="6" xfId="7" applyFont="1" applyBorder="1" applyAlignment="1">
      <alignment horizontal="center" vertical="top"/>
    </xf>
    <xf numFmtId="0" fontId="5" fillId="0" borderId="6" xfId="7" applyFont="1" applyBorder="1" applyAlignment="1">
      <alignment horizontal="justify" vertical="top" wrapText="1"/>
    </xf>
    <xf numFmtId="0" fontId="6" fillId="0" borderId="6" xfId="0" applyFont="1" applyFill="1" applyBorder="1" applyAlignment="1">
      <alignment horizontal="center" vertical="center"/>
    </xf>
    <xf numFmtId="2" fontId="8" fillId="2" borderId="6" xfId="7" applyNumberFormat="1" applyFont="1" applyFill="1" applyBorder="1" applyAlignment="1">
      <alignment horizontal="center"/>
    </xf>
    <xf numFmtId="0" fontId="6" fillId="8" borderId="6" xfId="7" applyNumberFormat="1" applyFont="1" applyFill="1" applyBorder="1" applyAlignment="1" applyProtection="1">
      <alignment vertical="center" wrapText="1"/>
    </xf>
    <xf numFmtId="0" fontId="6" fillId="0" borderId="6" xfId="0" applyFont="1" applyBorder="1" applyAlignment="1">
      <alignment horizontal="center" vertical="center"/>
    </xf>
    <xf numFmtId="166" fontId="6" fillId="7" borderId="6" xfId="7" applyNumberFormat="1" applyFont="1" applyFill="1" applyBorder="1"/>
    <xf numFmtId="0" fontId="6" fillId="0" borderId="6" xfId="0" applyFont="1" applyBorder="1" applyAlignment="1">
      <alignment wrapText="1"/>
    </xf>
    <xf numFmtId="0" fontId="6" fillId="8" borderId="6" xfId="2" applyNumberFormat="1" applyFont="1" applyFill="1" applyBorder="1" applyAlignment="1" applyProtection="1">
      <alignment vertical="center" wrapText="1"/>
    </xf>
    <xf numFmtId="165" fontId="8" fillId="2" borderId="6" xfId="7" applyNumberFormat="1" applyFont="1" applyFill="1" applyBorder="1" applyAlignment="1">
      <alignment horizontal="center"/>
    </xf>
    <xf numFmtId="0" fontId="7" fillId="0" borderId="6" xfId="2" applyFont="1" applyFill="1" applyBorder="1" applyAlignment="1" applyProtection="1">
      <alignment horizontal="justify" vertical="center" wrapText="1"/>
      <protection hidden="1"/>
    </xf>
    <xf numFmtId="0" fontId="7" fillId="0" borderId="6" xfId="2" applyFont="1" applyFill="1" applyBorder="1" applyAlignment="1" applyProtection="1">
      <alignment horizontal="center" vertical="center" wrapText="1"/>
      <protection hidden="1"/>
    </xf>
    <xf numFmtId="0" fontId="8" fillId="3" borderId="6" xfId="7" applyFont="1" applyFill="1" applyBorder="1" applyAlignment="1">
      <alignment horizontal="right"/>
    </xf>
    <xf numFmtId="165" fontId="6" fillId="7" borderId="6" xfId="7" applyNumberFormat="1" applyFont="1" applyFill="1" applyBorder="1" applyAlignment="1">
      <alignment horizontal="center"/>
    </xf>
    <xf numFmtId="2" fontId="6" fillId="7" borderId="6" xfId="7" applyNumberFormat="1" applyFont="1" applyFill="1" applyBorder="1"/>
    <xf numFmtId="0" fontId="6" fillId="3" borderId="6" xfId="7" applyFont="1" applyFill="1" applyBorder="1"/>
    <xf numFmtId="165" fontId="6" fillId="3" borderId="6" xfId="7" applyNumberFormat="1" applyFont="1" applyFill="1" applyBorder="1" applyAlignment="1">
      <alignment horizontal="center" vertical="center"/>
    </xf>
    <xf numFmtId="2" fontId="6" fillId="3" borderId="6" xfId="8" applyNumberFormat="1" applyFont="1" applyFill="1" applyBorder="1" applyAlignment="1">
      <alignment horizontal="center" vertical="center" wrapText="1"/>
    </xf>
    <xf numFmtId="0" fontId="6" fillId="3" borderId="6" xfId="8" applyNumberFormat="1" applyFont="1" applyFill="1" applyBorder="1" applyAlignment="1">
      <alignment horizontal="justify" wrapText="1"/>
    </xf>
    <xf numFmtId="0" fontId="8" fillId="7" borderId="6" xfId="8" applyNumberFormat="1" applyFont="1" applyFill="1" applyBorder="1" applyAlignment="1">
      <alignment horizontal="center" wrapText="1"/>
    </xf>
    <xf numFmtId="0" fontId="6" fillId="3" borderId="6" xfId="8" applyNumberFormat="1" applyFont="1" applyFill="1" applyBorder="1" applyAlignment="1">
      <alignment horizontal="left" wrapText="1"/>
    </xf>
    <xf numFmtId="0" fontId="8" fillId="7" borderId="6" xfId="8" applyNumberFormat="1" applyFont="1" applyFill="1" applyBorder="1" applyAlignment="1">
      <alignment horizontal="center" vertical="center" wrapText="1"/>
    </xf>
    <xf numFmtId="0" fontId="6" fillId="3" borderId="6" xfId="7" applyFont="1" applyFill="1" applyBorder="1" applyAlignment="1">
      <alignment horizontal="center" vertical="center"/>
    </xf>
    <xf numFmtId="0" fontId="6" fillId="3" borderId="6" xfId="8" applyNumberFormat="1" applyFont="1" applyFill="1" applyBorder="1" applyAlignment="1">
      <alignment vertical="top" wrapText="1"/>
    </xf>
    <xf numFmtId="0" fontId="6" fillId="7" borderId="6" xfId="8" applyNumberFormat="1" applyFont="1" applyFill="1" applyBorder="1" applyAlignment="1">
      <alignment horizontal="center" wrapText="1"/>
    </xf>
    <xf numFmtId="0" fontId="6" fillId="3" borderId="5" xfId="7" applyFont="1" applyFill="1" applyBorder="1"/>
    <xf numFmtId="0" fontId="14" fillId="7" borderId="6" xfId="8" applyNumberFormat="1" applyFont="1" applyFill="1" applyBorder="1" applyAlignment="1">
      <alignment horizontal="center" wrapText="1"/>
    </xf>
    <xf numFmtId="0" fontId="6" fillId="3" borderId="14" xfId="7" applyFont="1" applyFill="1" applyBorder="1"/>
    <xf numFmtId="0" fontId="7" fillId="3" borderId="6" xfId="8" applyNumberFormat="1" applyFont="1" applyFill="1" applyBorder="1" applyAlignment="1">
      <alignment horizontal="left" vertical="center" wrapText="1"/>
    </xf>
    <xf numFmtId="0" fontId="8" fillId="3" borderId="6" xfId="7" applyFont="1" applyFill="1" applyBorder="1" applyAlignment="1">
      <alignment horizontal="center"/>
    </xf>
    <xf numFmtId="0" fontId="8" fillId="3" borderId="6" xfId="7" applyFont="1" applyFill="1" applyBorder="1" applyAlignment="1">
      <alignment horizontal="center" vertical="center"/>
    </xf>
    <xf numFmtId="0" fontId="7" fillId="3" borderId="6" xfId="7" applyFont="1" applyFill="1" applyBorder="1" applyAlignment="1">
      <alignment horizontal="left" vertical="center" wrapText="1"/>
    </xf>
    <xf numFmtId="0" fontId="13" fillId="3" borderId="6" xfId="7" applyFont="1" applyFill="1" applyBorder="1" applyAlignment="1">
      <alignment horizontal="center" vertical="center"/>
    </xf>
    <xf numFmtId="0" fontId="13" fillId="3" borderId="6" xfId="7" applyFont="1" applyFill="1" applyBorder="1" applyAlignment="1">
      <alignment horizontal="center" vertical="center" wrapText="1"/>
    </xf>
    <xf numFmtId="0" fontId="6" fillId="3" borderId="9" xfId="7" applyNumberFormat="1" applyFont="1" applyFill="1" applyBorder="1" applyAlignment="1">
      <alignment horizontal="center" vertical="center"/>
    </xf>
    <xf numFmtId="0" fontId="6" fillId="3" borderId="6" xfId="7" applyFont="1" applyFill="1" applyBorder="1" applyAlignment="1">
      <alignment wrapText="1"/>
    </xf>
    <xf numFmtId="0" fontId="6" fillId="3" borderId="6" xfId="7" applyNumberFormat="1" applyFont="1" applyFill="1" applyBorder="1" applyAlignment="1">
      <alignment horizontal="center" vertical="center"/>
    </xf>
    <xf numFmtId="0" fontId="6" fillId="3" borderId="9" xfId="7" applyFont="1" applyFill="1" applyBorder="1"/>
    <xf numFmtId="0" fontId="6" fillId="3" borderId="6" xfId="7" applyFont="1" applyFill="1" applyBorder="1" applyAlignment="1">
      <alignment horizontal="left" vertical="center" wrapText="1"/>
    </xf>
    <xf numFmtId="0" fontId="6" fillId="3" borderId="6" xfId="7" applyFont="1" applyFill="1" applyBorder="1" applyAlignment="1">
      <alignment horizontal="center" vertical="center" wrapText="1"/>
    </xf>
    <xf numFmtId="0" fontId="6" fillId="3" borderId="9" xfId="7" applyFont="1" applyFill="1" applyBorder="1" applyAlignment="1">
      <alignment vertical="center" wrapText="1"/>
    </xf>
    <xf numFmtId="0" fontId="6" fillId="3" borderId="6" xfId="7" applyFont="1" applyFill="1" applyBorder="1" applyAlignment="1">
      <alignment vertical="center" wrapText="1"/>
    </xf>
    <xf numFmtId="0" fontId="6" fillId="3" borderId="6" xfId="3" applyFont="1" applyFill="1" applyBorder="1" applyAlignment="1">
      <alignment vertical="center" wrapText="1"/>
    </xf>
    <xf numFmtId="0" fontId="35" fillId="3" borderId="6" xfId="0" applyFont="1" applyFill="1" applyBorder="1" applyAlignment="1">
      <alignment horizontal="center" vertical="center" wrapText="1"/>
    </xf>
    <xf numFmtId="0" fontId="13" fillId="0" borderId="6" xfId="17" applyFont="1" applyBorder="1" applyAlignment="1">
      <alignment horizontal="center" vertical="center" wrapText="1"/>
    </xf>
    <xf numFmtId="165" fontId="6" fillId="3" borderId="6" xfId="3" applyNumberFormat="1" applyFont="1" applyFill="1" applyBorder="1" applyAlignment="1">
      <alignment horizontal="center" vertical="center" wrapText="1"/>
    </xf>
    <xf numFmtId="1" fontId="6" fillId="3" borderId="6" xfId="3" applyNumberFormat="1" applyFont="1" applyFill="1" applyBorder="1" applyAlignment="1">
      <alignment horizontal="center" vertical="center" wrapText="1"/>
    </xf>
    <xf numFmtId="0" fontId="5" fillId="0" borderId="6" xfId="17" applyFont="1" applyBorder="1" applyAlignment="1">
      <alignment horizontal="center" vertical="center"/>
    </xf>
    <xf numFmtId="0" fontId="6" fillId="3" borderId="6" xfId="0" applyFont="1" applyFill="1" applyBorder="1" applyAlignment="1">
      <alignment horizontal="justify" vertical="top" wrapText="1"/>
    </xf>
    <xf numFmtId="0" fontId="6" fillId="3" borderId="6" xfId="0" applyFont="1" applyFill="1" applyBorder="1" applyAlignment="1">
      <alignment wrapText="1"/>
    </xf>
    <xf numFmtId="0" fontId="6" fillId="3" borderId="6" xfId="0" applyFont="1" applyFill="1" applyBorder="1" applyAlignment="1">
      <alignment horizontal="center"/>
    </xf>
    <xf numFmtId="0" fontId="6" fillId="7" borderId="6" xfId="7" applyFont="1" applyFill="1" applyBorder="1" applyAlignment="1">
      <alignment horizontal="center"/>
    </xf>
    <xf numFmtId="0" fontId="6" fillId="7" borderId="6" xfId="7" applyFont="1" applyFill="1" applyBorder="1" applyAlignment="1">
      <alignment wrapText="1"/>
    </xf>
    <xf numFmtId="3" fontId="13" fillId="3" borderId="6" xfId="0" applyNumberFormat="1" applyFont="1" applyFill="1" applyBorder="1" applyAlignment="1">
      <alignment horizontal="center" vertical="center" wrapText="1"/>
    </xf>
    <xf numFmtId="3" fontId="5" fillId="3" borderId="6" xfId="0" applyNumberFormat="1" applyFont="1" applyFill="1" applyBorder="1" applyAlignment="1">
      <alignment horizontal="center" vertical="center"/>
    </xf>
    <xf numFmtId="2" fontId="6" fillId="3" borderId="6" xfId="7" applyNumberFormat="1" applyFont="1" applyFill="1" applyBorder="1" applyAlignment="1">
      <alignment horizontal="center" vertical="center"/>
    </xf>
    <xf numFmtId="0" fontId="13" fillId="0" borderId="1" xfId="8" applyFont="1" applyBorder="1" applyAlignment="1">
      <alignment horizontal="justify" vertical="top" wrapText="1"/>
    </xf>
    <xf numFmtId="0" fontId="5" fillId="0" borderId="2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 wrapText="1"/>
    </xf>
    <xf numFmtId="9" fontId="5" fillId="0" borderId="6" xfId="10" applyFont="1" applyBorder="1" applyAlignment="1">
      <alignment horizontal="center" vertical="center" wrapText="1"/>
    </xf>
    <xf numFmtId="165" fontId="13" fillId="0" borderId="6" xfId="0" applyNumberFormat="1" applyFont="1" applyBorder="1" applyAlignment="1">
      <alignment horizontal="center" vertical="center" wrapText="1"/>
    </xf>
    <xf numFmtId="165" fontId="6" fillId="7" borderId="9" xfId="7" applyNumberFormat="1" applyFont="1" applyFill="1" applyBorder="1" applyAlignment="1">
      <alignment horizontal="center" vertical="center"/>
    </xf>
    <xf numFmtId="2" fontId="6" fillId="7" borderId="6" xfId="7" applyNumberFormat="1" applyFont="1" applyFill="1" applyBorder="1" applyAlignment="1">
      <alignment horizontal="center"/>
    </xf>
    <xf numFmtId="165" fontId="6" fillId="7" borderId="14" xfId="7" applyNumberFormat="1" applyFont="1" applyFill="1" applyBorder="1" applyAlignment="1">
      <alignment horizontal="center" vertical="center"/>
    </xf>
    <xf numFmtId="2" fontId="6" fillId="7" borderId="5" xfId="7" applyNumberFormat="1" applyFont="1" applyFill="1" applyBorder="1" applyAlignment="1">
      <alignment horizontal="center"/>
    </xf>
    <xf numFmtId="2" fontId="8" fillId="2" borderId="5" xfId="7" applyNumberFormat="1" applyFont="1" applyFill="1" applyBorder="1" applyAlignment="1">
      <alignment horizontal="center"/>
    </xf>
    <xf numFmtId="165" fontId="6" fillId="7" borderId="1" xfId="7" applyNumberFormat="1" applyFont="1" applyFill="1" applyBorder="1"/>
    <xf numFmtId="0" fontId="5" fillId="3" borderId="6" xfId="11" applyFont="1" applyFill="1" applyBorder="1" applyAlignment="1">
      <alignment horizontal="justify" vertical="top" wrapText="1"/>
    </xf>
    <xf numFmtId="0" fontId="13" fillId="3" borderId="6" xfId="11" applyFont="1" applyFill="1" applyBorder="1" applyAlignment="1">
      <alignment horizontal="center" vertical="center"/>
    </xf>
    <xf numFmtId="0" fontId="13" fillId="3" borderId="6" xfId="3" applyFont="1" applyFill="1" applyBorder="1" applyAlignment="1">
      <alignment horizontal="center" vertical="center" wrapText="1"/>
    </xf>
    <xf numFmtId="165" fontId="6" fillId="3" borderId="6" xfId="7" applyNumberFormat="1" applyFont="1" applyFill="1" applyBorder="1"/>
    <xf numFmtId="165" fontId="8" fillId="2" borderId="5" xfId="7" applyNumberFormat="1" applyFont="1" applyFill="1" applyBorder="1" applyAlignment="1">
      <alignment horizontal="center"/>
    </xf>
    <xf numFmtId="165" fontId="6" fillId="3" borderId="6" xfId="7" applyNumberFormat="1" applyFont="1" applyFill="1" applyBorder="1" applyAlignment="1">
      <alignment horizontal="center"/>
    </xf>
    <xf numFmtId="0" fontId="13" fillId="3" borderId="6" xfId="8" applyFont="1" applyFill="1" applyBorder="1" applyAlignment="1">
      <alignment horizontal="justify" vertical="top" wrapText="1"/>
    </xf>
    <xf numFmtId="0" fontId="6" fillId="3" borderId="6" xfId="12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165" fontId="6" fillId="3" borderId="5" xfId="7" applyNumberFormat="1" applyFont="1" applyFill="1" applyBorder="1" applyAlignment="1">
      <alignment horizontal="center" vertical="center"/>
    </xf>
    <xf numFmtId="165" fontId="6" fillId="3" borderId="5" xfId="7" applyNumberFormat="1" applyFont="1" applyFill="1" applyBorder="1" applyAlignment="1">
      <alignment horizontal="center"/>
    </xf>
    <xf numFmtId="0" fontId="6" fillId="3" borderId="9" xfId="13" applyNumberFormat="1" applyFont="1" applyFill="1" applyBorder="1" applyAlignment="1">
      <alignment horizontal="center" vertical="center" wrapText="1"/>
    </xf>
    <xf numFmtId="165" fontId="13" fillId="3" borderId="6" xfId="0" applyNumberFormat="1" applyFont="1" applyFill="1" applyBorder="1" applyAlignment="1">
      <alignment horizontal="center" vertical="center" wrapText="1"/>
    </xf>
    <xf numFmtId="0" fontId="13" fillId="3" borderId="6" xfId="8" applyFont="1" applyFill="1" applyBorder="1" applyAlignment="1">
      <alignment horizontal="left" vertical="top" wrapText="1"/>
    </xf>
    <xf numFmtId="0" fontId="6" fillId="3" borderId="6" xfId="13" applyNumberFormat="1" applyFont="1" applyFill="1" applyBorder="1" applyAlignment="1">
      <alignment horizontal="center" vertical="center" wrapText="1"/>
    </xf>
    <xf numFmtId="0" fontId="6" fillId="3" borderId="6" xfId="14" applyFont="1" applyFill="1" applyBorder="1" applyAlignment="1">
      <alignment horizontal="center" vertical="center" wrapText="1"/>
    </xf>
    <xf numFmtId="0" fontId="6" fillId="3" borderId="6" xfId="11" applyFont="1" applyFill="1" applyBorder="1" applyAlignment="1">
      <alignment horizontal="left" vertical="center" wrapText="1"/>
    </xf>
    <xf numFmtId="0" fontId="6" fillId="3" borderId="6" xfId="15" applyFont="1" applyFill="1" applyBorder="1" applyAlignment="1">
      <alignment horizontal="left" vertical="center" wrapText="1"/>
    </xf>
    <xf numFmtId="0" fontId="6" fillId="3" borderId="6" xfId="16" applyFont="1" applyFill="1" applyBorder="1" applyAlignment="1">
      <alignment horizontal="center" vertical="center" wrapText="1"/>
    </xf>
    <xf numFmtId="0" fontId="6" fillId="3" borderId="6" xfId="17" applyFont="1" applyFill="1" applyBorder="1" applyAlignment="1">
      <alignment horizontal="left" vertical="center" wrapText="1"/>
    </xf>
    <xf numFmtId="0" fontId="6" fillId="3" borderId="6" xfId="18" applyFont="1" applyFill="1" applyBorder="1" applyAlignment="1">
      <alignment horizontal="center" vertical="center" wrapText="1"/>
    </xf>
    <xf numFmtId="0" fontId="6" fillId="3" borderId="6" xfId="19" applyFont="1" applyFill="1" applyBorder="1" applyAlignment="1">
      <alignment horizontal="left" vertical="center" wrapText="1"/>
    </xf>
    <xf numFmtId="0" fontId="6" fillId="3" borderId="6" xfId="19" applyFont="1" applyFill="1" applyBorder="1" applyAlignment="1">
      <alignment horizontal="center" vertical="center" wrapText="1"/>
    </xf>
    <xf numFmtId="0" fontId="6" fillId="3" borderId="7" xfId="3" applyFont="1" applyFill="1" applyBorder="1" applyAlignment="1">
      <alignment horizontal="left" vertical="center" wrapText="1"/>
    </xf>
    <xf numFmtId="0" fontId="6" fillId="3" borderId="7" xfId="3" applyFont="1" applyFill="1" applyBorder="1" applyAlignment="1">
      <alignment vertical="center" wrapText="1"/>
    </xf>
    <xf numFmtId="0" fontId="6" fillId="3" borderId="6" xfId="3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6" xfId="3" applyFont="1" applyFill="1" applyBorder="1" applyAlignment="1">
      <alignment horizontal="center" vertical="center"/>
    </xf>
    <xf numFmtId="0" fontId="6" fillId="3" borderId="6" xfId="3" applyFont="1" applyFill="1" applyBorder="1" applyAlignment="1">
      <alignment horizontal="left"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justify" vertical="center" wrapText="1"/>
    </xf>
    <xf numFmtId="0" fontId="8" fillId="2" borderId="6" xfId="7" applyFont="1" applyFill="1" applyBorder="1"/>
    <xf numFmtId="0" fontId="6" fillId="0" borderId="6" xfId="7" applyFont="1" applyFill="1" applyBorder="1"/>
    <xf numFmtId="0" fontId="6" fillId="0" borderId="0" xfId="7" applyFont="1" applyFill="1"/>
    <xf numFmtId="0" fontId="6" fillId="0" borderId="6" xfId="7" applyFont="1" applyFill="1" applyBorder="1" applyAlignment="1">
      <alignment wrapText="1"/>
    </xf>
    <xf numFmtId="0" fontId="7" fillId="0" borderId="6" xfId="7" applyFont="1" applyBorder="1" applyAlignment="1">
      <alignment horizontal="center" vertical="center"/>
    </xf>
    <xf numFmtId="0" fontId="6" fillId="0" borderId="6" xfId="7" applyFont="1" applyBorder="1" applyAlignment="1">
      <alignment horizontal="center" vertical="center"/>
    </xf>
    <xf numFmtId="0" fontId="6" fillId="0" borderId="6" xfId="7" applyFont="1" applyFill="1" applyBorder="1" applyAlignment="1">
      <alignment horizontal="center" wrapText="1"/>
    </xf>
    <xf numFmtId="0" fontId="6" fillId="0" borderId="6" xfId="7" applyFont="1" applyBorder="1" applyAlignment="1">
      <alignment wrapText="1"/>
    </xf>
    <xf numFmtId="0" fontId="6" fillId="7" borderId="6" xfId="0" applyFont="1" applyFill="1" applyBorder="1" applyAlignment="1">
      <alignment horizontal="justify" vertical="top" wrapText="1"/>
    </xf>
    <xf numFmtId="0" fontId="6" fillId="7" borderId="6" xfId="0" applyFont="1" applyFill="1" applyBorder="1" applyAlignment="1">
      <alignment horizontal="center" vertical="center" wrapText="1"/>
    </xf>
    <xf numFmtId="0" fontId="13" fillId="0" borderId="6" xfId="8" applyNumberFormat="1" applyFont="1" applyBorder="1" applyAlignment="1">
      <alignment horizontal="center" vertical="center" wrapText="1"/>
    </xf>
    <xf numFmtId="0" fontId="6" fillId="7" borderId="0" xfId="0" applyFont="1" applyFill="1" applyAlignment="1">
      <alignment vertical="top" wrapText="1"/>
    </xf>
    <xf numFmtId="0" fontId="6" fillId="7" borderId="6" xfId="0" applyFont="1" applyFill="1" applyBorder="1" applyAlignment="1">
      <alignment horizontal="center" vertical="top" wrapText="1"/>
    </xf>
    <xf numFmtId="0" fontId="13" fillId="0" borderId="6" xfId="8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/>
    </xf>
    <xf numFmtId="0" fontId="6" fillId="7" borderId="6" xfId="7" applyFont="1" applyFill="1" applyBorder="1" applyAlignment="1">
      <alignment horizontal="center" vertical="top"/>
    </xf>
    <xf numFmtId="0" fontId="7" fillId="0" borderId="6" xfId="7" applyFont="1" applyFill="1" applyBorder="1" applyAlignment="1">
      <alignment horizontal="left" vertical="center" wrapText="1"/>
    </xf>
    <xf numFmtId="0" fontId="13" fillId="0" borderId="6" xfId="7" applyFont="1" applyFill="1" applyBorder="1" applyAlignment="1">
      <alignment horizontal="center" vertical="center"/>
    </xf>
    <xf numFmtId="0" fontId="7" fillId="0" borderId="6" xfId="7" applyFont="1" applyFill="1" applyBorder="1" applyAlignment="1">
      <alignment horizontal="center" vertical="center" wrapText="1"/>
    </xf>
    <xf numFmtId="0" fontId="6" fillId="0" borderId="6" xfId="7" applyFont="1" applyBorder="1" applyAlignment="1">
      <alignment horizontal="left" vertical="center" wrapText="1"/>
    </xf>
    <xf numFmtId="0" fontId="5" fillId="0" borderId="6" xfId="7" applyFont="1" applyBorder="1" applyAlignment="1">
      <alignment horizontal="left" vertical="center" wrapText="1"/>
    </xf>
    <xf numFmtId="0" fontId="6" fillId="0" borderId="6" xfId="7" applyFont="1" applyFill="1" applyBorder="1" applyAlignment="1">
      <alignment horizontal="center" vertical="center" wrapText="1"/>
    </xf>
    <xf numFmtId="0" fontId="6" fillId="3" borderId="7" xfId="3" applyFont="1" applyFill="1" applyBorder="1" applyAlignment="1">
      <alignment horizontal="justify" vertical="center" wrapText="1"/>
    </xf>
    <xf numFmtId="4" fontId="6" fillId="3" borderId="1" xfId="3" applyNumberFormat="1" applyFont="1" applyFill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1" fontId="7" fillId="3" borderId="6" xfId="8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left" vertical="top" wrapText="1"/>
    </xf>
    <xf numFmtId="165" fontId="6" fillId="3" borderId="6" xfId="0" applyNumberFormat="1" applyFont="1" applyFill="1" applyBorder="1" applyAlignment="1">
      <alignment horizontal="center" vertical="center" wrapText="1"/>
    </xf>
    <xf numFmtId="1" fontId="6" fillId="3" borderId="6" xfId="0" applyNumberFormat="1" applyFont="1" applyFill="1" applyBorder="1" applyAlignment="1">
      <alignment horizontal="center" vertical="center" wrapText="1"/>
    </xf>
    <xf numFmtId="0" fontId="13" fillId="2" borderId="6" xfId="7" applyFont="1" applyFill="1" applyBorder="1" applyAlignment="1">
      <alignment horizontal="left" wrapText="1"/>
    </xf>
    <xf numFmtId="0" fontId="13" fillId="2" borderId="6" xfId="7" applyFont="1" applyFill="1" applyBorder="1" applyAlignment="1">
      <alignment horizontal="center" wrapText="1"/>
    </xf>
    <xf numFmtId="0" fontId="6" fillId="2" borderId="9" xfId="7" applyFont="1" applyFill="1" applyBorder="1"/>
    <xf numFmtId="165" fontId="6" fillId="2" borderId="6" xfId="7" applyNumberFormat="1" applyFont="1" applyFill="1" applyBorder="1" applyAlignment="1">
      <alignment horizontal="center" vertical="center"/>
    </xf>
    <xf numFmtId="0" fontId="6" fillId="2" borderId="6" xfId="7" applyFont="1" applyFill="1" applyBorder="1"/>
    <xf numFmtId="0" fontId="13" fillId="0" borderId="6" xfId="7" applyFont="1" applyBorder="1" applyAlignment="1">
      <alignment horizontal="left" wrapText="1"/>
    </xf>
    <xf numFmtId="0" fontId="13" fillId="0" borderId="6" xfId="7" applyFont="1" applyBorder="1" applyAlignment="1">
      <alignment horizontal="center" wrapText="1"/>
    </xf>
    <xf numFmtId="0" fontId="6" fillId="7" borderId="9" xfId="7" applyFont="1" applyFill="1" applyBorder="1"/>
    <xf numFmtId="165" fontId="6" fillId="7" borderId="9" xfId="7" applyNumberFormat="1" applyFont="1" applyFill="1" applyBorder="1" applyAlignment="1">
      <alignment vertical="center"/>
    </xf>
    <xf numFmtId="0" fontId="13" fillId="3" borderId="6" xfId="7" applyFont="1" applyFill="1" applyBorder="1" applyAlignment="1">
      <alignment horizontal="center" wrapText="1"/>
    </xf>
    <xf numFmtId="0" fontId="5" fillId="0" borderId="6" xfId="7" applyFont="1" applyBorder="1" applyAlignment="1">
      <alignment horizontal="center" vertical="top" wrapText="1"/>
    </xf>
    <xf numFmtId="10" fontId="13" fillId="0" borderId="6" xfId="7" applyNumberFormat="1" applyFont="1" applyBorder="1" applyAlignment="1">
      <alignment horizontal="center"/>
    </xf>
    <xf numFmtId="0" fontId="5" fillId="0" borderId="6" xfId="7" applyFont="1" applyBorder="1" applyAlignment="1">
      <alignment horizontal="center" wrapText="1"/>
    </xf>
    <xf numFmtId="9" fontId="13" fillId="0" borderId="6" xfId="7" applyNumberFormat="1" applyFont="1" applyBorder="1" applyAlignment="1">
      <alignment horizontal="center" vertical="top" wrapText="1"/>
    </xf>
    <xf numFmtId="0" fontId="13" fillId="0" borderId="6" xfId="7" applyFont="1" applyBorder="1" applyAlignment="1">
      <alignment horizontal="center"/>
    </xf>
    <xf numFmtId="0" fontId="5" fillId="0" borderId="6" xfId="7" applyFont="1" applyBorder="1" applyAlignment="1">
      <alignment horizontal="center" vertical="top"/>
    </xf>
    <xf numFmtId="0" fontId="5" fillId="0" borderId="6" xfId="7" applyFont="1" applyBorder="1" applyAlignment="1">
      <alignment horizontal="center"/>
    </xf>
    <xf numFmtId="165" fontId="8" fillId="2" borderId="9" xfId="7" applyNumberFormat="1" applyFont="1" applyFill="1" applyBorder="1" applyAlignment="1">
      <alignment horizontal="center"/>
    </xf>
    <xf numFmtId="165" fontId="8" fillId="3" borderId="6" xfId="7" applyNumberFormat="1" applyFont="1" applyFill="1" applyBorder="1" applyAlignment="1">
      <alignment horizontal="center"/>
    </xf>
    <xf numFmtId="165" fontId="5" fillId="0" borderId="6" xfId="17" applyNumberFormat="1" applyFont="1" applyFill="1" applyBorder="1" applyAlignment="1">
      <alignment horizontal="center" vertical="center"/>
    </xf>
    <xf numFmtId="165" fontId="5" fillId="0" borderId="6" xfId="17" applyNumberFormat="1" applyFont="1" applyFill="1" applyBorder="1" applyAlignment="1">
      <alignment horizontal="center"/>
    </xf>
    <xf numFmtId="0" fontId="8" fillId="2" borderId="6" xfId="7" applyFont="1" applyFill="1" applyBorder="1" applyAlignment="1">
      <alignment horizontal="center" wrapText="1"/>
    </xf>
    <xf numFmtId="0" fontId="8" fillId="3" borderId="6" xfId="7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justify"/>
    </xf>
    <xf numFmtId="0" fontId="6" fillId="3" borderId="6" xfId="3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top" wrapText="1"/>
    </xf>
    <xf numFmtId="0" fontId="6" fillId="3" borderId="6" xfId="7" applyFont="1" applyFill="1" applyBorder="1" applyAlignment="1">
      <alignment vertical="top"/>
    </xf>
    <xf numFmtId="2" fontId="8" fillId="2" borderId="1" xfId="7" applyNumberFormat="1" applyFont="1" applyFill="1" applyBorder="1" applyAlignment="1">
      <alignment horizontal="center"/>
    </xf>
    <xf numFmtId="2" fontId="8" fillId="3" borderId="1" xfId="7" applyNumberFormat="1" applyFont="1" applyFill="1" applyBorder="1" applyAlignment="1">
      <alignment horizontal="center"/>
    </xf>
    <xf numFmtId="10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top" wrapText="1"/>
    </xf>
    <xf numFmtId="0" fontId="6" fillId="7" borderId="9" xfId="7" applyFont="1" applyFill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justify" vertical="center"/>
    </xf>
    <xf numFmtId="0" fontId="5" fillId="0" borderId="6" xfId="0" applyFont="1" applyFill="1" applyBorder="1" applyAlignment="1">
      <alignment horizontal="left" vertical="top" wrapText="1"/>
    </xf>
    <xf numFmtId="0" fontId="8" fillId="0" borderId="6" xfId="2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wrapText="1"/>
    </xf>
    <xf numFmtId="165" fontId="8" fillId="2" borderId="9" xfId="2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justify" vertical="top"/>
    </xf>
    <xf numFmtId="0" fontId="13" fillId="0" borderId="6" xfId="0" applyFont="1" applyBorder="1" applyAlignment="1">
      <alignment horizontal="justify" wrapText="1"/>
    </xf>
    <xf numFmtId="0" fontId="5" fillId="5" borderId="6" xfId="24" applyFont="1" applyFill="1" applyBorder="1" applyAlignment="1">
      <alignment horizontal="left" vertical="center" wrapText="1"/>
    </xf>
    <xf numFmtId="0" fontId="19" fillId="5" borderId="6" xfId="24" applyFont="1" applyFill="1" applyBorder="1" applyAlignment="1">
      <alignment horizontal="left" vertical="center" wrapText="1"/>
    </xf>
    <xf numFmtId="0" fontId="5" fillId="5" borderId="6" xfId="24" applyFont="1" applyFill="1" applyBorder="1" applyAlignment="1">
      <alignment horizontal="left" vertical="center"/>
    </xf>
    <xf numFmtId="0" fontId="18" fillId="3" borderId="6" xfId="24" applyFont="1" applyFill="1" applyBorder="1" applyAlignment="1">
      <alignment horizontal="left" vertical="center"/>
    </xf>
    <xf numFmtId="0" fontId="5" fillId="3" borderId="6" xfId="24" applyFont="1" applyFill="1" applyBorder="1" applyAlignment="1">
      <alignment horizontal="left" vertical="center" wrapText="1"/>
    </xf>
    <xf numFmtId="0" fontId="6" fillId="3" borderId="6" xfId="20" applyFont="1" applyFill="1" applyBorder="1" applyAlignment="1">
      <alignment vertical="center" wrapText="1"/>
    </xf>
    <xf numFmtId="0" fontId="13" fillId="0" borderId="6" xfId="0" applyFont="1" applyBorder="1" applyAlignment="1">
      <alignment horizontal="left" vertical="center" wrapText="1" indent="1"/>
    </xf>
    <xf numFmtId="0" fontId="6" fillId="0" borderId="6" xfId="17" applyFont="1" applyBorder="1" applyAlignment="1">
      <alignment horizontal="left" vertical="top" wrapText="1"/>
    </xf>
    <xf numFmtId="4" fontId="6" fillId="3" borderId="6" xfId="17" applyNumberFormat="1" applyFont="1" applyFill="1" applyBorder="1" applyAlignment="1">
      <alignment horizontal="center" vertical="top" wrapText="1"/>
    </xf>
    <xf numFmtId="4" fontId="6" fillId="0" borderId="6" xfId="17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center" wrapText="1"/>
    </xf>
    <xf numFmtId="4" fontId="5" fillId="0" borderId="6" xfId="17" applyNumberFormat="1" applyFont="1" applyBorder="1" applyAlignment="1">
      <alignment horizontal="center" vertical="top" wrapText="1"/>
    </xf>
    <xf numFmtId="0" fontId="3" fillId="2" borderId="6" xfId="0" applyFont="1" applyFill="1" applyBorder="1" applyAlignment="1">
      <alignment vertical="top" wrapText="1"/>
    </xf>
    <xf numFmtId="0" fontId="8" fillId="5" borderId="6" xfId="0" applyFont="1" applyFill="1" applyBorder="1" applyAlignment="1">
      <alignment horizontal="center" vertical="top" wrapText="1"/>
    </xf>
    <xf numFmtId="0" fontId="10" fillId="5" borderId="6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left" vertical="top" wrapText="1"/>
    </xf>
    <xf numFmtId="2" fontId="21" fillId="3" borderId="6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4" fontId="6" fillId="2" borderId="6" xfId="3" applyNumberFormat="1" applyFont="1" applyFill="1" applyBorder="1" applyAlignment="1">
      <alignment horizontal="center" vertical="center" wrapText="1"/>
    </xf>
    <xf numFmtId="4" fontId="13" fillId="3" borderId="6" xfId="6" applyNumberFormat="1" applyFont="1" applyFill="1" applyBorder="1" applyAlignment="1" applyProtection="1">
      <alignment horizontal="center" vertical="center" shrinkToFit="1"/>
    </xf>
    <xf numFmtId="0" fontId="15" fillId="2" borderId="6" xfId="0" applyFont="1" applyFill="1" applyBorder="1" applyAlignment="1">
      <alignment vertical="center"/>
    </xf>
    <xf numFmtId="0" fontId="6" fillId="0" borderId="6" xfId="2" applyNumberFormat="1" applyFont="1" applyFill="1" applyBorder="1" applyAlignment="1">
      <alignment horizontal="left" vertical="top" wrapText="1"/>
    </xf>
    <xf numFmtId="43" fontId="10" fillId="3" borderId="6" xfId="1" applyFont="1" applyFill="1" applyBorder="1" applyAlignment="1">
      <alignment vertical="center"/>
    </xf>
    <xf numFmtId="165" fontId="18" fillId="3" borderId="6" xfId="0" applyNumberFormat="1" applyFont="1" applyFill="1" applyBorder="1" applyAlignment="1">
      <alignment vertical="center"/>
    </xf>
    <xf numFmtId="2" fontId="18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2" fontId="3" fillId="2" borderId="6" xfId="0" applyNumberFormat="1" applyFont="1" applyFill="1" applyBorder="1" applyAlignment="1">
      <alignment vertical="center"/>
    </xf>
    <xf numFmtId="43" fontId="14" fillId="3" borderId="6" xfId="1" applyFont="1" applyFill="1" applyBorder="1" applyAlignment="1"/>
    <xf numFmtId="0" fontId="37" fillId="0" borderId="0" xfId="0" applyFont="1" applyAlignment="1">
      <alignment wrapText="1"/>
    </xf>
    <xf numFmtId="0" fontId="8" fillId="0" borderId="1" xfId="2" applyFont="1" applyBorder="1" applyAlignment="1">
      <alignment horizontal="center" wrapText="1"/>
    </xf>
    <xf numFmtId="0" fontId="8" fillId="0" borderId="5" xfId="2" applyFont="1" applyBorder="1" applyAlignment="1">
      <alignment horizontal="center" wrapText="1"/>
    </xf>
    <xf numFmtId="0" fontId="8" fillId="0" borderId="2" xfId="2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8" fillId="0" borderId="6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8" fillId="2" borderId="7" xfId="7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8" fillId="2" borderId="11" xfId="7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0" fillId="3" borderId="6" xfId="0" applyFont="1" applyFill="1" applyBorder="1" applyAlignment="1">
      <alignment horizontal="center" vertical="top" wrapText="1"/>
    </xf>
    <xf numFmtId="165" fontId="10" fillId="7" borderId="7" xfId="7" applyNumberFormat="1" applyFont="1" applyFill="1" applyBorder="1" applyAlignment="1">
      <alignment horizontal="center" vertical="center"/>
    </xf>
    <xf numFmtId="165" fontId="10" fillId="7" borderId="11" xfId="7" applyNumberFormat="1" applyFont="1" applyFill="1" applyBorder="1" applyAlignment="1">
      <alignment horizontal="center" vertical="center"/>
    </xf>
    <xf numFmtId="165" fontId="10" fillId="7" borderId="9" xfId="7" applyNumberFormat="1" applyFont="1" applyFill="1" applyBorder="1" applyAlignment="1">
      <alignment horizontal="center" vertical="center"/>
    </xf>
    <xf numFmtId="0" fontId="10" fillId="7" borderId="7" xfId="7" applyFont="1" applyFill="1" applyBorder="1" applyAlignment="1">
      <alignment horizontal="center"/>
    </xf>
    <xf numFmtId="0" fontId="10" fillId="7" borderId="11" xfId="7" applyFont="1" applyFill="1" applyBorder="1" applyAlignment="1">
      <alignment horizontal="center"/>
    </xf>
    <xf numFmtId="0" fontId="10" fillId="7" borderId="9" xfId="7" applyFont="1" applyFill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10" fillId="3" borderId="7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7" xfId="7" applyFont="1" applyFill="1" applyBorder="1" applyAlignment="1">
      <alignment horizontal="center" wrapText="1"/>
    </xf>
    <xf numFmtId="0" fontId="10" fillId="3" borderId="11" xfId="7" applyFont="1" applyFill="1" applyBorder="1" applyAlignment="1">
      <alignment horizontal="center" wrapText="1"/>
    </xf>
    <xf numFmtId="0" fontId="10" fillId="3" borderId="9" xfId="7" applyFont="1" applyFill="1" applyBorder="1" applyAlignment="1">
      <alignment horizontal="center" wrapText="1"/>
    </xf>
    <xf numFmtId="0" fontId="18" fillId="3" borderId="11" xfId="0" applyFont="1" applyFill="1" applyBorder="1" applyAlignment="1">
      <alignment horizontal="center" wrapText="1"/>
    </xf>
    <xf numFmtId="0" fontId="18" fillId="3" borderId="9" xfId="0" applyFont="1" applyFill="1" applyBorder="1" applyAlignment="1">
      <alignment horizontal="center" wrapText="1"/>
    </xf>
    <xf numFmtId="0" fontId="8" fillId="2" borderId="6" xfId="7" applyFont="1" applyFill="1" applyBorder="1" applyAlignment="1">
      <alignment horizontal="center" wrapText="1"/>
    </xf>
    <xf numFmtId="0" fontId="5" fillId="3" borderId="11" xfId="0" applyFont="1" applyFill="1" applyBorder="1" applyAlignment="1">
      <alignment wrapText="1"/>
    </xf>
    <xf numFmtId="0" fontId="5" fillId="3" borderId="9" xfId="0" applyFont="1" applyFill="1" applyBorder="1" applyAlignment="1">
      <alignment wrapText="1"/>
    </xf>
    <xf numFmtId="0" fontId="8" fillId="7" borderId="11" xfId="7" applyFont="1" applyFill="1" applyBorder="1" applyAlignment="1">
      <alignment horizontal="center" vertical="center" wrapText="1"/>
    </xf>
    <xf numFmtId="0" fontId="8" fillId="7" borderId="11" xfId="7" applyFont="1" applyFill="1" applyBorder="1" applyAlignment="1">
      <alignment vertical="center"/>
    </xf>
    <xf numFmtId="0" fontId="8" fillId="7" borderId="9" xfId="7" applyFont="1" applyFill="1" applyBorder="1" applyAlignment="1">
      <alignment vertical="center"/>
    </xf>
    <xf numFmtId="0" fontId="8" fillId="0" borderId="7" xfId="7" applyFont="1" applyFill="1" applyBorder="1" applyAlignment="1">
      <alignment horizontal="center" wrapText="1"/>
    </xf>
    <xf numFmtId="0" fontId="8" fillId="0" borderId="11" xfId="7" applyFont="1" applyFill="1" applyBorder="1" applyAlignment="1">
      <alignment horizontal="center" wrapText="1"/>
    </xf>
    <xf numFmtId="0" fontId="8" fillId="0" borderId="9" xfId="7" applyFont="1" applyFill="1" applyBorder="1" applyAlignment="1">
      <alignment horizontal="center" wrapText="1"/>
    </xf>
    <xf numFmtId="0" fontId="10" fillId="0" borderId="7" xfId="7" applyFont="1" applyFill="1" applyBorder="1" applyAlignment="1">
      <alignment horizontal="center" wrapText="1"/>
    </xf>
    <xf numFmtId="0" fontId="10" fillId="0" borderId="11" xfId="7" applyFont="1" applyFill="1" applyBorder="1" applyAlignment="1">
      <alignment horizontal="center" wrapText="1"/>
    </xf>
    <xf numFmtId="0" fontId="10" fillId="0" borderId="9" xfId="7" applyFont="1" applyFill="1" applyBorder="1" applyAlignment="1">
      <alignment horizontal="center" wrapText="1"/>
    </xf>
    <xf numFmtId="165" fontId="10" fillId="3" borderId="7" xfId="7" applyNumberFormat="1" applyFont="1" applyFill="1" applyBorder="1" applyAlignment="1">
      <alignment horizontal="center" vertical="center"/>
    </xf>
    <xf numFmtId="165" fontId="10" fillId="3" borderId="11" xfId="7" applyNumberFormat="1" applyFont="1" applyFill="1" applyBorder="1" applyAlignment="1">
      <alignment horizontal="center" vertical="center"/>
    </xf>
    <xf numFmtId="165" fontId="10" fillId="3" borderId="9" xfId="7" applyNumberFormat="1" applyFont="1" applyFill="1" applyBorder="1" applyAlignment="1">
      <alignment horizontal="center" vertical="center"/>
    </xf>
    <xf numFmtId="0" fontId="20" fillId="3" borderId="15" xfId="8" applyFont="1" applyFill="1" applyBorder="1" applyAlignment="1">
      <alignment horizontal="center" vertical="top" wrapText="1"/>
    </xf>
    <xf numFmtId="0" fontId="20" fillId="3" borderId="12" xfId="8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wrapText="1"/>
    </xf>
    <xf numFmtId="0" fontId="3" fillId="3" borderId="14" xfId="0" applyFont="1" applyFill="1" applyBorder="1" applyAlignment="1">
      <alignment wrapText="1"/>
    </xf>
    <xf numFmtId="0" fontId="8" fillId="2" borderId="7" xfId="7" applyFont="1" applyFill="1" applyBorder="1" applyAlignment="1">
      <alignment horizontal="center" vertical="center" wrapText="1"/>
    </xf>
    <xf numFmtId="0" fontId="6" fillId="2" borderId="11" xfId="7" applyFont="1" applyFill="1" applyBorder="1" applyAlignment="1">
      <alignment horizontal="center" vertical="center" wrapText="1"/>
    </xf>
    <xf numFmtId="0" fontId="6" fillId="2" borderId="11" xfId="7" applyFont="1" applyFill="1" applyBorder="1" applyAlignment="1">
      <alignment vertical="center"/>
    </xf>
    <xf numFmtId="0" fontId="6" fillId="2" borderId="9" xfId="7" applyFont="1" applyFill="1" applyBorder="1" applyAlignment="1">
      <alignment vertical="center"/>
    </xf>
    <xf numFmtId="0" fontId="8" fillId="7" borderId="11" xfId="7" applyFont="1" applyFill="1" applyBorder="1" applyAlignment="1"/>
    <xf numFmtId="0" fontId="8" fillId="7" borderId="9" xfId="7" applyFont="1" applyFill="1" applyBorder="1" applyAlignment="1"/>
    <xf numFmtId="0" fontId="16" fillId="2" borderId="6" xfId="7" applyFont="1" applyFill="1" applyBorder="1" applyAlignment="1">
      <alignment horizontal="center" vertical="center" wrapText="1"/>
    </xf>
    <xf numFmtId="0" fontId="6" fillId="2" borderId="6" xfId="7" applyFont="1" applyFill="1" applyBorder="1" applyAlignment="1">
      <alignment vertical="center" wrapText="1"/>
    </xf>
    <xf numFmtId="0" fontId="8" fillId="0" borderId="6" xfId="7" applyFont="1" applyBorder="1" applyAlignment="1">
      <alignment horizontal="center" vertical="center"/>
    </xf>
    <xf numFmtId="0" fontId="8" fillId="2" borderId="13" xfId="7" applyFont="1" applyFill="1" applyBorder="1" applyAlignment="1">
      <alignment horizontal="center" wrapText="1"/>
    </xf>
    <xf numFmtId="0" fontId="8" fillId="2" borderId="12" xfId="7" applyFont="1" applyFill="1" applyBorder="1" applyAlignment="1">
      <alignment wrapText="1"/>
    </xf>
    <xf numFmtId="0" fontId="8" fillId="2" borderId="14" xfId="7" applyFont="1" applyFill="1" applyBorder="1" applyAlignment="1">
      <alignment wrapText="1"/>
    </xf>
    <xf numFmtId="0" fontId="8" fillId="0" borderId="3" xfId="7" applyFont="1" applyBorder="1" applyAlignment="1">
      <alignment horizontal="center" vertical="center" wrapText="1"/>
    </xf>
    <xf numFmtId="0" fontId="8" fillId="0" borderId="4" xfId="7" applyFont="1" applyBorder="1" applyAlignment="1">
      <alignment horizontal="center" vertical="center" wrapText="1"/>
    </xf>
    <xf numFmtId="0" fontId="8" fillId="2" borderId="12" xfId="7" applyFont="1" applyFill="1" applyBorder="1" applyAlignment="1">
      <alignment horizontal="center" wrapText="1"/>
    </xf>
    <xf numFmtId="0" fontId="8" fillId="2" borderId="14" xfId="7" applyFont="1" applyFill="1" applyBorder="1" applyAlignment="1">
      <alignment horizontal="center" wrapText="1"/>
    </xf>
    <xf numFmtId="0" fontId="8" fillId="3" borderId="11" xfId="7" applyFont="1" applyFill="1" applyBorder="1" applyAlignment="1">
      <alignment horizontal="center" vertical="center" wrapText="1"/>
    </xf>
    <xf numFmtId="0" fontId="8" fillId="3" borderId="9" xfId="7" applyFont="1" applyFill="1" applyBorder="1" applyAlignment="1">
      <alignment horizontal="center" vertical="center" wrapText="1"/>
    </xf>
    <xf numFmtId="0" fontId="8" fillId="2" borderId="5" xfId="7" applyFont="1" applyFill="1" applyBorder="1" applyAlignment="1">
      <alignment horizontal="center" wrapText="1"/>
    </xf>
    <xf numFmtId="0" fontId="10" fillId="7" borderId="7" xfId="7" applyFont="1" applyFill="1" applyBorder="1" applyAlignment="1">
      <alignment horizontal="center" vertical="center" wrapText="1"/>
    </xf>
    <xf numFmtId="0" fontId="10" fillId="7" borderId="11" xfId="7" applyFont="1" applyFill="1" applyBorder="1" applyAlignment="1">
      <alignment horizontal="center" vertical="center" wrapText="1"/>
    </xf>
    <xf numFmtId="0" fontId="10" fillId="7" borderId="11" xfId="7" applyFont="1" applyFill="1" applyBorder="1" applyAlignment="1">
      <alignment horizontal="center" wrapText="1"/>
    </xf>
    <xf numFmtId="0" fontId="10" fillId="7" borderId="9" xfId="7" applyFont="1" applyFill="1" applyBorder="1" applyAlignment="1">
      <alignment horizontal="center" wrapText="1"/>
    </xf>
    <xf numFmtId="0" fontId="8" fillId="7" borderId="11" xfId="7" applyFont="1" applyFill="1" applyBorder="1" applyAlignment="1">
      <alignment vertical="center" wrapText="1"/>
    </xf>
    <xf numFmtId="0" fontId="14" fillId="3" borderId="7" xfId="7" applyFont="1" applyFill="1" applyBorder="1" applyAlignment="1">
      <alignment horizontal="center" vertical="center"/>
    </xf>
    <xf numFmtId="0" fontId="14" fillId="3" borderId="11" xfId="7" applyFont="1" applyFill="1" applyBorder="1" applyAlignment="1">
      <alignment horizontal="center" vertical="center"/>
    </xf>
    <xf numFmtId="0" fontId="14" fillId="3" borderId="9" xfId="7" applyFont="1" applyFill="1" applyBorder="1" applyAlignment="1">
      <alignment horizontal="center" vertical="center"/>
    </xf>
    <xf numFmtId="0" fontId="6" fillId="3" borderId="7" xfId="7" applyFont="1" applyFill="1" applyBorder="1" applyAlignment="1">
      <alignment horizontal="center" vertical="center" wrapText="1"/>
    </xf>
    <xf numFmtId="0" fontId="6" fillId="3" borderId="11" xfId="7" applyFont="1" applyFill="1" applyBorder="1" applyAlignment="1">
      <alignment horizontal="center" vertical="center" wrapText="1"/>
    </xf>
    <xf numFmtId="0" fontId="6" fillId="3" borderId="9" xfId="7" applyFont="1" applyFill="1" applyBorder="1" applyAlignment="1">
      <alignment horizontal="center" vertical="center" wrapText="1"/>
    </xf>
    <xf numFmtId="0" fontId="14" fillId="3" borderId="7" xfId="7" applyFont="1" applyFill="1" applyBorder="1" applyAlignment="1">
      <alignment horizontal="center" vertical="center" wrapText="1"/>
    </xf>
    <xf numFmtId="0" fontId="14" fillId="3" borderId="11" xfId="7" applyFont="1" applyFill="1" applyBorder="1" applyAlignment="1">
      <alignment horizontal="center" vertical="center" wrapText="1"/>
    </xf>
    <xf numFmtId="0" fontId="14" fillId="3" borderId="9" xfId="7" applyFont="1" applyFill="1" applyBorder="1" applyAlignment="1">
      <alignment horizontal="center" vertical="center" wrapText="1"/>
    </xf>
    <xf numFmtId="0" fontId="6" fillId="3" borderId="6" xfId="7" applyFont="1" applyFill="1" applyBorder="1" applyAlignment="1">
      <alignment horizontal="center" vertical="top" wrapText="1"/>
    </xf>
    <xf numFmtId="0" fontId="6" fillId="2" borderId="11" xfId="7" applyFont="1" applyFill="1" applyBorder="1" applyAlignment="1">
      <alignment wrapText="1"/>
    </xf>
    <xf numFmtId="0" fontId="6" fillId="2" borderId="9" xfId="7" applyFont="1" applyFill="1" applyBorder="1" applyAlignment="1">
      <alignment wrapText="1"/>
    </xf>
    <xf numFmtId="0" fontId="8" fillId="3" borderId="7" xfId="7" applyFont="1" applyFill="1" applyBorder="1" applyAlignment="1">
      <alignment horizontal="center" wrapText="1"/>
    </xf>
    <xf numFmtId="0" fontId="8" fillId="3" borderId="11" xfId="7" applyFont="1" applyFill="1" applyBorder="1" applyAlignment="1">
      <alignment horizontal="center" wrapText="1"/>
    </xf>
    <xf numFmtId="0" fontId="8" fillId="2" borderId="9" xfId="7" applyFont="1" applyFill="1" applyBorder="1" applyAlignment="1">
      <alignment horizontal="center" wrapText="1"/>
    </xf>
    <xf numFmtId="0" fontId="8" fillId="2" borderId="13" xfId="7" applyFont="1" applyFill="1" applyBorder="1" applyAlignment="1">
      <alignment horizontal="center" vertical="center" wrapText="1"/>
    </xf>
    <xf numFmtId="0" fontId="6" fillId="2" borderId="12" xfId="7" applyFont="1" applyFill="1" applyBorder="1" applyAlignment="1">
      <alignment vertical="center" wrapText="1"/>
    </xf>
    <xf numFmtId="0" fontId="6" fillId="2" borderId="11" xfId="7" applyFont="1" applyFill="1" applyBorder="1" applyAlignment="1">
      <alignment vertical="center" wrapText="1"/>
    </xf>
    <xf numFmtId="0" fontId="6" fillId="2" borderId="9" xfId="7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/>
    </xf>
    <xf numFmtId="0" fontId="14" fillId="7" borderId="6" xfId="7" applyFont="1" applyFill="1" applyBorder="1" applyAlignment="1">
      <alignment horizontal="center" vertical="center" wrapText="1"/>
    </xf>
    <xf numFmtId="0" fontId="14" fillId="7" borderId="6" xfId="7" applyFont="1" applyFill="1" applyBorder="1" applyAlignment="1">
      <alignment horizontal="center" vertical="top" wrapText="1"/>
    </xf>
    <xf numFmtId="0" fontId="6" fillId="2" borderId="9" xfId="7" applyFont="1" applyFill="1" applyBorder="1" applyAlignment="1">
      <alignment horizontal="center" vertical="center" wrapText="1"/>
    </xf>
    <xf numFmtId="0" fontId="8" fillId="7" borderId="7" xfId="7" applyFont="1" applyFill="1" applyBorder="1" applyAlignment="1">
      <alignment horizontal="center" wrapText="1"/>
    </xf>
    <xf numFmtId="0" fontId="6" fillId="7" borderId="11" xfId="7" applyFont="1" applyFill="1" applyBorder="1" applyAlignment="1">
      <alignment horizontal="center" wrapText="1"/>
    </xf>
    <xf numFmtId="0" fontId="6" fillId="7" borderId="9" xfId="7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7" applyFont="1" applyFill="1" applyBorder="1" applyAlignment="1">
      <alignment horizontal="center" vertical="center" wrapText="1"/>
    </xf>
    <xf numFmtId="0" fontId="8" fillId="2" borderId="11" xfId="7" applyFont="1" applyFill="1" applyBorder="1" applyAlignment="1">
      <alignment vertical="center" wrapText="1"/>
    </xf>
    <xf numFmtId="0" fontId="8" fillId="2" borderId="9" xfId="7" applyFont="1" applyFill="1" applyBorder="1" applyAlignment="1">
      <alignment vertical="center" wrapText="1"/>
    </xf>
    <xf numFmtId="0" fontId="16" fillId="7" borderId="7" xfId="7" applyFont="1" applyFill="1" applyBorder="1" applyAlignment="1">
      <alignment horizontal="center" vertical="center" wrapText="1"/>
    </xf>
    <xf numFmtId="0" fontId="16" fillId="7" borderId="11" xfId="7" applyFont="1" applyFill="1" applyBorder="1" applyAlignment="1">
      <alignment horizontal="center" vertical="center" wrapText="1"/>
    </xf>
    <xf numFmtId="0" fontId="6" fillId="0" borderId="7" xfId="7" applyFont="1" applyFill="1" applyBorder="1" applyAlignment="1">
      <alignment horizontal="center" vertical="top" wrapText="1"/>
    </xf>
    <xf numFmtId="0" fontId="6" fillId="0" borderId="11" xfId="7" applyFont="1" applyFill="1" applyBorder="1" applyAlignment="1">
      <alignment horizontal="center" vertical="top" wrapText="1"/>
    </xf>
    <xf numFmtId="0" fontId="6" fillId="0" borderId="9" xfId="7" applyFont="1" applyFill="1" applyBorder="1" applyAlignment="1">
      <alignment horizontal="center" vertical="top" wrapText="1"/>
    </xf>
    <xf numFmtId="0" fontId="7" fillId="3" borderId="7" xfId="7" applyFont="1" applyFill="1" applyBorder="1" applyAlignment="1">
      <alignment horizontal="center" vertical="center" wrapText="1"/>
    </xf>
    <xf numFmtId="0" fontId="7" fillId="3" borderId="11" xfId="7" applyFont="1" applyFill="1" applyBorder="1" applyAlignment="1">
      <alignment horizontal="center" vertical="center" wrapText="1"/>
    </xf>
    <xf numFmtId="0" fontId="7" fillId="3" borderId="9" xfId="7" applyFont="1" applyFill="1" applyBorder="1" applyAlignment="1">
      <alignment horizontal="center" vertical="center" wrapText="1"/>
    </xf>
    <xf numFmtId="0" fontId="10" fillId="3" borderId="7" xfId="7" applyFont="1" applyFill="1" applyBorder="1" applyAlignment="1">
      <alignment horizontal="center"/>
    </xf>
    <xf numFmtId="0" fontId="10" fillId="3" borderId="11" xfId="7" applyFont="1" applyFill="1" applyBorder="1" applyAlignment="1">
      <alignment horizontal="center"/>
    </xf>
    <xf numFmtId="0" fontId="10" fillId="3" borderId="12" xfId="7" applyFont="1" applyFill="1" applyBorder="1" applyAlignment="1">
      <alignment horizontal="center"/>
    </xf>
    <xf numFmtId="0" fontId="10" fillId="3" borderId="9" xfId="7" applyFont="1" applyFill="1" applyBorder="1" applyAlignment="1">
      <alignment horizontal="center"/>
    </xf>
    <xf numFmtId="0" fontId="6" fillId="3" borderId="7" xfId="7" applyFont="1" applyFill="1" applyBorder="1" applyAlignment="1">
      <alignment horizontal="center" vertical="center"/>
    </xf>
    <xf numFmtId="0" fontId="6" fillId="3" borderId="11" xfId="7" applyFont="1" applyFill="1" applyBorder="1" applyAlignment="1">
      <alignment horizontal="center" vertical="center"/>
    </xf>
    <xf numFmtId="0" fontId="6" fillId="3" borderId="9" xfId="7" applyFont="1" applyFill="1" applyBorder="1" applyAlignment="1">
      <alignment horizontal="center" vertical="center"/>
    </xf>
    <xf numFmtId="0" fontId="6" fillId="3" borderId="6" xfId="7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8" fillId="2" borderId="7" xfId="7" applyFont="1" applyFill="1" applyBorder="1" applyAlignment="1">
      <alignment horizontal="center"/>
    </xf>
    <xf numFmtId="0" fontId="8" fillId="2" borderId="11" xfId="7" applyFont="1" applyFill="1" applyBorder="1" applyAlignment="1">
      <alignment horizontal="center"/>
    </xf>
    <xf numFmtId="0" fontId="8" fillId="2" borderId="9" xfId="7" applyFont="1" applyFill="1" applyBorder="1" applyAlignment="1">
      <alignment horizontal="center"/>
    </xf>
    <xf numFmtId="0" fontId="8" fillId="3" borderId="9" xfId="7" applyFont="1" applyFill="1" applyBorder="1" applyAlignment="1">
      <alignment horizontal="center" wrapText="1"/>
    </xf>
    <xf numFmtId="0" fontId="6" fillId="3" borderId="7" xfId="8" applyNumberFormat="1" applyFont="1" applyFill="1" applyBorder="1" applyAlignment="1">
      <alignment horizontal="center" vertical="center" wrapText="1"/>
    </xf>
    <xf numFmtId="0" fontId="6" fillId="3" borderId="11" xfId="8" applyNumberFormat="1" applyFont="1" applyFill="1" applyBorder="1" applyAlignment="1">
      <alignment horizontal="center" vertical="center" wrapText="1"/>
    </xf>
    <xf numFmtId="0" fontId="6" fillId="3" borderId="9" xfId="8" applyNumberFormat="1" applyFont="1" applyFill="1" applyBorder="1" applyAlignment="1">
      <alignment horizontal="center" vertical="center" wrapText="1"/>
    </xf>
    <xf numFmtId="0" fontId="8" fillId="3" borderId="7" xfId="8" applyNumberFormat="1" applyFont="1" applyFill="1" applyBorder="1" applyAlignment="1">
      <alignment horizontal="center" wrapText="1"/>
    </xf>
    <xf numFmtId="0" fontId="8" fillId="3" borderId="11" xfId="8" applyNumberFormat="1" applyFont="1" applyFill="1" applyBorder="1" applyAlignment="1">
      <alignment horizontal="center" wrapText="1"/>
    </xf>
    <xf numFmtId="0" fontId="8" fillId="3" borderId="9" xfId="8" applyNumberFormat="1" applyFont="1" applyFill="1" applyBorder="1" applyAlignment="1">
      <alignment horizontal="center" wrapText="1"/>
    </xf>
    <xf numFmtId="0" fontId="8" fillId="3" borderId="7" xfId="8" applyNumberFormat="1" applyFont="1" applyFill="1" applyBorder="1" applyAlignment="1">
      <alignment horizontal="center" vertical="center" wrapText="1"/>
    </xf>
    <xf numFmtId="0" fontId="8" fillId="3" borderId="11" xfId="8" applyNumberFormat="1" applyFont="1" applyFill="1" applyBorder="1" applyAlignment="1">
      <alignment horizontal="center" vertical="center" wrapText="1"/>
    </xf>
    <xf numFmtId="0" fontId="8" fillId="3" borderId="9" xfId="8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7" borderId="6" xfId="8" applyNumberFormat="1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8" fillId="3" borderId="6" xfId="7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23" fillId="7" borderId="6" xfId="7" applyFont="1" applyFill="1" applyBorder="1" applyAlignment="1">
      <alignment horizontal="center" wrapText="1"/>
    </xf>
    <xf numFmtId="0" fontId="8" fillId="7" borderId="0" xfId="7" applyFont="1" applyFill="1" applyAlignment="1">
      <alignment horizontal="center" wrapText="1"/>
    </xf>
    <xf numFmtId="0" fontId="8" fillId="3" borderId="6" xfId="7" applyFont="1" applyFill="1" applyBorder="1" applyAlignment="1">
      <alignment horizontal="center" vertical="center" wrapText="1"/>
    </xf>
    <xf numFmtId="0" fontId="8" fillId="7" borderId="1" xfId="7" applyFont="1" applyFill="1" applyBorder="1" applyAlignment="1">
      <alignment horizontal="center" vertical="center"/>
    </xf>
    <xf numFmtId="0" fontId="8" fillId="7" borderId="5" xfId="7" applyFont="1" applyFill="1" applyBorder="1" applyAlignment="1">
      <alignment horizontal="center" vertical="center"/>
    </xf>
    <xf numFmtId="0" fontId="8" fillId="7" borderId="5" xfId="7" applyFont="1" applyFill="1" applyBorder="1" applyAlignment="1">
      <alignment vertical="center"/>
    </xf>
    <xf numFmtId="0" fontId="8" fillId="7" borderId="8" xfId="7" applyFont="1" applyFill="1" applyBorder="1" applyAlignment="1">
      <alignment horizontal="center" vertical="center"/>
    </xf>
    <xf numFmtId="0" fontId="8" fillId="7" borderId="1" xfId="7" applyFont="1" applyFill="1" applyBorder="1" applyAlignment="1">
      <alignment horizontal="center" vertical="center" wrapText="1"/>
    </xf>
    <xf numFmtId="0" fontId="8" fillId="7" borderId="8" xfId="7" applyFont="1" applyFill="1" applyBorder="1" applyAlignment="1">
      <alignment horizontal="center" vertical="center" wrapText="1"/>
    </xf>
    <xf numFmtId="0" fontId="8" fillId="7" borderId="5" xfId="7" applyFont="1" applyFill="1" applyBorder="1" applyAlignment="1">
      <alignment horizontal="center" vertical="center" wrapText="1"/>
    </xf>
    <xf numFmtId="0" fontId="8" fillId="7" borderId="7" xfId="7" applyFont="1" applyFill="1" applyBorder="1" applyAlignment="1">
      <alignment horizontal="center" vertical="center" wrapText="1"/>
    </xf>
    <xf numFmtId="0" fontId="8" fillId="7" borderId="9" xfId="7" applyFont="1" applyFill="1" applyBorder="1" applyAlignment="1">
      <alignment vertical="center" wrapText="1"/>
    </xf>
    <xf numFmtId="0" fontId="16" fillId="2" borderId="7" xfId="7" applyFont="1" applyFill="1" applyBorder="1" applyAlignment="1">
      <alignment horizontal="center" vertical="center" wrapText="1"/>
    </xf>
    <xf numFmtId="0" fontId="16" fillId="2" borderId="11" xfId="7" applyFont="1" applyFill="1" applyBorder="1" applyAlignment="1">
      <alignment horizontal="center" vertical="center" wrapText="1"/>
    </xf>
    <xf numFmtId="0" fontId="16" fillId="7" borderId="7" xfId="7" applyFont="1" applyFill="1" applyBorder="1" applyAlignment="1">
      <alignment horizontal="center" wrapText="1"/>
    </xf>
    <xf numFmtId="0" fontId="16" fillId="7" borderId="11" xfId="7" applyFont="1" applyFill="1" applyBorder="1" applyAlignment="1">
      <alignment horizontal="center" wrapText="1"/>
    </xf>
    <xf numFmtId="0" fontId="16" fillId="7" borderId="9" xfId="7" applyFont="1" applyFill="1" applyBorder="1" applyAlignment="1">
      <alignment horizontal="center" wrapText="1"/>
    </xf>
    <xf numFmtId="0" fontId="14" fillId="7" borderId="6" xfId="7" applyFont="1" applyFill="1" applyBorder="1" applyAlignment="1">
      <alignment horizontal="center" wrapText="1"/>
    </xf>
    <xf numFmtId="0" fontId="14" fillId="7" borderId="6" xfId="7" applyFont="1" applyFill="1" applyBorder="1" applyAlignment="1">
      <alignment horizontal="center"/>
    </xf>
    <xf numFmtId="0" fontId="10" fillId="7" borderId="9" xfId="7" applyFont="1" applyFill="1" applyBorder="1" applyAlignment="1">
      <alignment horizontal="center" vertical="center" wrapText="1"/>
    </xf>
    <xf numFmtId="49" fontId="6" fillId="0" borderId="6" xfId="2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0" fontId="31" fillId="0" borderId="6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7" fillId="0" borderId="1" xfId="0" applyFont="1" applyBorder="1" applyAlignment="1">
      <alignment wrapText="1"/>
    </xf>
    <xf numFmtId="0" fontId="38" fillId="0" borderId="8" xfId="0" applyFont="1" applyBorder="1" applyAlignment="1">
      <alignment wrapText="1"/>
    </xf>
    <xf numFmtId="0" fontId="38" fillId="0" borderId="5" xfId="0" applyFont="1" applyBorder="1" applyAlignment="1">
      <alignment wrapText="1"/>
    </xf>
    <xf numFmtId="0" fontId="8" fillId="7" borderId="0" xfId="0" applyFont="1" applyFill="1" applyAlignment="1">
      <alignment horizontal="center" vertical="center" wrapText="1"/>
    </xf>
  </cellXfs>
  <cellStyles count="110">
    <cellStyle name="xl22" xfId="61"/>
    <cellStyle name="xl24" xfId="57"/>
    <cellStyle name="xl25" xfId="62"/>
    <cellStyle name="xl26" xfId="85"/>
    <cellStyle name="xl27" xfId="63"/>
    <cellStyle name="xl28" xfId="64"/>
    <cellStyle name="xl29" xfId="65"/>
    <cellStyle name="xl30" xfId="66"/>
    <cellStyle name="xl31" xfId="67"/>
    <cellStyle name="xl32" xfId="68"/>
    <cellStyle name="xl34" xfId="69"/>
    <cellStyle name="xl35" xfId="70"/>
    <cellStyle name="xl36" xfId="71"/>
    <cellStyle name="xl37" xfId="72"/>
    <cellStyle name="xl38" xfId="87"/>
    <cellStyle name="xl39" xfId="73"/>
    <cellStyle name="xl40" xfId="109"/>
    <cellStyle name="xl41" xfId="88"/>
    <cellStyle name="xl42" xfId="56"/>
    <cellStyle name="xl43" xfId="74"/>
    <cellStyle name="xl44" xfId="75"/>
    <cellStyle name="xl45" xfId="76"/>
    <cellStyle name="xl46" xfId="77"/>
    <cellStyle name="xl47" xfId="78"/>
    <cellStyle name="xl48" xfId="79"/>
    <cellStyle name="xl49" xfId="80"/>
    <cellStyle name="xl50" xfId="81"/>
    <cellStyle name="xl51" xfId="82"/>
    <cellStyle name="xl52" xfId="83"/>
    <cellStyle name="xl53" xfId="84"/>
    <cellStyle name="xl54" xfId="90"/>
    <cellStyle name="xl56" xfId="89"/>
    <cellStyle name="xl57" xfId="58"/>
    <cellStyle name="xl58" xfId="59"/>
    <cellStyle name="xl59" xfId="60"/>
    <cellStyle name="xl61" xfId="5"/>
    <cellStyle name="xl64" xfId="6"/>
    <cellStyle name="xl65" xfId="86"/>
    <cellStyle name="Денежный 2" xfId="26"/>
    <cellStyle name="Денежный 3" xfId="27"/>
    <cellStyle name="Обычный" xfId="0" builtinId="0"/>
    <cellStyle name="Обычный 10" xfId="17"/>
    <cellStyle name="Обычный 11" xfId="18"/>
    <cellStyle name="Обычный 12" xfId="3"/>
    <cellStyle name="Обычный 13" xfId="19"/>
    <cellStyle name="Обычный 14" xfId="16"/>
    <cellStyle name="Обычный 14 2" xfId="28"/>
    <cellStyle name="Обычный 15" xfId="9"/>
    <cellStyle name="Обычный 16" xfId="23"/>
    <cellStyle name="Обычный 17" xfId="24"/>
    <cellStyle name="Обычный 17 2" xfId="29"/>
    <cellStyle name="Обычный 19" xfId="30"/>
    <cellStyle name="Обычный 2" xfId="2"/>
    <cellStyle name="Обычный 2 2" xfId="7"/>
    <cellStyle name="Обычный 2 3" xfId="20"/>
    <cellStyle name="Обычный 2 4" xfId="25"/>
    <cellStyle name="Обычный 2 5" xfId="31"/>
    <cellStyle name="Обычный 20" xfId="32"/>
    <cellStyle name="Обычный 25" xfId="33"/>
    <cellStyle name="Обычный 26" xfId="34"/>
    <cellStyle name="Обычный 27" xfId="35"/>
    <cellStyle name="Обычный 3" xfId="4"/>
    <cellStyle name="Обычный 31" xfId="36"/>
    <cellStyle name="Обычный 32" xfId="37"/>
    <cellStyle name="Обычный 34" xfId="38"/>
    <cellStyle name="Обычный 35" xfId="39"/>
    <cellStyle name="Обычный 36" xfId="40"/>
    <cellStyle name="Обычный 38" xfId="41"/>
    <cellStyle name="Обычный 4" xfId="8"/>
    <cellStyle name="Обычный 41" xfId="42"/>
    <cellStyle name="Обычный 48" xfId="43"/>
    <cellStyle name="Обычный 5" xfId="13"/>
    <cellStyle name="Обычный 54" xfId="44"/>
    <cellStyle name="Обычный 55" xfId="45"/>
    <cellStyle name="Обычный 56" xfId="46"/>
    <cellStyle name="Обычный 57" xfId="47"/>
    <cellStyle name="Обычный 58" xfId="48"/>
    <cellStyle name="Обычный 59" xfId="49"/>
    <cellStyle name="Обычный 6" xfId="12"/>
    <cellStyle name="Обычный 62" xfId="50"/>
    <cellStyle name="Обычный 7" xfId="11"/>
    <cellStyle name="Обычный 8" xfId="14"/>
    <cellStyle name="Обычный 8 2" xfId="51"/>
    <cellStyle name="Обычный 9" xfId="15"/>
    <cellStyle name="Процентный 3" xfId="10"/>
    <cellStyle name="Стиль 1" xfId="52"/>
    <cellStyle name="Финансовый" xfId="1" builtinId="3"/>
    <cellStyle name="Финансовый [0] 4" xfId="53"/>
    <cellStyle name="Финансовый 10" xfId="96"/>
    <cellStyle name="Финансовый 11" xfId="97"/>
    <cellStyle name="Финансовый 12" xfId="98"/>
    <cellStyle name="Финансовый 13" xfId="99"/>
    <cellStyle name="Финансовый 14" xfId="100"/>
    <cellStyle name="Финансовый 15" xfId="101"/>
    <cellStyle name="Финансовый 16" xfId="102"/>
    <cellStyle name="Финансовый 17" xfId="103"/>
    <cellStyle name="Финансовый 18" xfId="104"/>
    <cellStyle name="Финансовый 19" xfId="105"/>
    <cellStyle name="Финансовый 2" xfId="21"/>
    <cellStyle name="Финансовый 2 2" xfId="22"/>
    <cellStyle name="Финансовый 20" xfId="106"/>
    <cellStyle name="Финансовый 21" xfId="107"/>
    <cellStyle name="Финансовый 22" xfId="108"/>
    <cellStyle name="Финансовый 3" xfId="54"/>
    <cellStyle name="Финансовый 4" xfId="55"/>
    <cellStyle name="Финансовый 5" xfId="91"/>
    <cellStyle name="Финансовый 6" xfId="92"/>
    <cellStyle name="Финансовый 7" xfId="93"/>
    <cellStyle name="Финансовый 8" xfId="94"/>
    <cellStyle name="Финансовый 9" xfId="95"/>
  </cellStyles>
  <dxfs count="4">
    <dxf>
      <font>
        <color indexed="9"/>
      </font>
    </dxf>
    <dxf>
      <font>
        <color theme="0"/>
      </font>
    </dxf>
    <dxf>
      <font>
        <color theme="0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0"/>
  <sheetViews>
    <sheetView tabSelected="1" zoomScale="79" zoomScaleNormal="79" workbookViewId="0">
      <pane xSplit="2" ySplit="4" topLeftCell="K96" activePane="bottomRight" state="frozen"/>
      <selection pane="topRight" activeCell="C1" sqref="C1"/>
      <selection pane="bottomLeft" activeCell="A5" sqref="A5"/>
      <selection pane="bottomRight" activeCell="L111" sqref="L111"/>
    </sheetView>
  </sheetViews>
  <sheetFormatPr defaultRowHeight="15.75" x14ac:dyDescent="0.25"/>
  <cols>
    <col min="1" max="1" width="3.69921875" style="54" customWidth="1"/>
    <col min="2" max="2" width="58.09765625" style="55" customWidth="1"/>
    <col min="3" max="3" width="10.5" style="55" customWidth="1"/>
    <col min="4" max="4" width="12.09765625" style="158" customWidth="1"/>
    <col min="5" max="5" width="12.3984375" style="158" customWidth="1"/>
    <col min="6" max="6" width="11.09765625" style="158" customWidth="1"/>
    <col min="7" max="7" width="9.5" style="158" customWidth="1"/>
    <col min="8" max="8" width="12.796875" style="158" customWidth="1"/>
    <col min="9" max="9" width="12.19921875" style="56" customWidth="1"/>
    <col min="10" max="11" width="11.5" style="158" customWidth="1"/>
    <col min="12" max="12" width="11.69921875" style="158" customWidth="1"/>
    <col min="13" max="13" width="10.296875" style="158" customWidth="1"/>
    <col min="14" max="14" width="10.59765625" style="158" customWidth="1"/>
    <col min="15" max="15" width="9.19921875" style="158" hidden="1" customWidth="1"/>
    <col min="16" max="16" width="12.5" style="56" customWidth="1"/>
    <col min="17" max="17" width="12" style="158" customWidth="1"/>
    <col min="18" max="18" width="11.3984375" style="158" customWidth="1"/>
    <col min="19" max="19" width="13.09765625" style="158" customWidth="1"/>
    <col min="20" max="20" width="9.69921875" style="158" customWidth="1"/>
    <col min="21" max="21" width="10.69921875" style="158" customWidth="1"/>
    <col min="22" max="22" width="11.59765625" style="158" customWidth="1"/>
    <col min="23" max="23" width="8.3984375" style="158" customWidth="1"/>
    <col min="24" max="26" width="8.796875" style="158" customWidth="1"/>
    <col min="27" max="237" width="8.796875" style="158"/>
    <col min="238" max="238" width="4.296875" style="158" customWidth="1"/>
    <col min="239" max="239" width="42.5" style="158" customWidth="1"/>
    <col min="240" max="240" width="8.8984375" style="158" customWidth="1"/>
    <col min="241" max="242" width="8.19921875" style="158" customWidth="1"/>
    <col min="243" max="243" width="9.59765625" style="158" customWidth="1"/>
    <col min="244" max="244" width="8.59765625" style="158" customWidth="1"/>
    <col min="245" max="246" width="7.5" style="158" customWidth="1"/>
    <col min="247" max="252" width="7" style="158" customWidth="1"/>
    <col min="253" max="267" width="8.796875" style="158"/>
    <col min="268" max="268" width="10.69921875" style="158" customWidth="1"/>
    <col min="269" max="493" width="8.796875" style="158"/>
    <col min="494" max="494" width="4.296875" style="158" customWidth="1"/>
    <col min="495" max="495" width="42.5" style="158" customWidth="1"/>
    <col min="496" max="496" width="8.8984375" style="158" customWidth="1"/>
    <col min="497" max="498" width="8.19921875" style="158" customWidth="1"/>
    <col min="499" max="499" width="9.59765625" style="158" customWidth="1"/>
    <col min="500" max="500" width="8.59765625" style="158" customWidth="1"/>
    <col min="501" max="502" width="7.5" style="158" customWidth="1"/>
    <col min="503" max="508" width="7" style="158" customWidth="1"/>
    <col min="509" max="523" width="8.796875" style="158"/>
    <col min="524" max="524" width="10.69921875" style="158" customWidth="1"/>
    <col min="525" max="749" width="8.796875" style="158"/>
    <col min="750" max="750" width="4.296875" style="158" customWidth="1"/>
    <col min="751" max="751" width="42.5" style="158" customWidth="1"/>
    <col min="752" max="752" width="8.8984375" style="158" customWidth="1"/>
    <col min="753" max="754" width="8.19921875" style="158" customWidth="1"/>
    <col min="755" max="755" width="9.59765625" style="158" customWidth="1"/>
    <col min="756" max="756" width="8.59765625" style="158" customWidth="1"/>
    <col min="757" max="758" width="7.5" style="158" customWidth="1"/>
    <col min="759" max="764" width="7" style="158" customWidth="1"/>
    <col min="765" max="779" width="8.796875" style="158"/>
    <col min="780" max="780" width="10.69921875" style="158" customWidth="1"/>
    <col min="781" max="1005" width="8.796875" style="158"/>
    <col min="1006" max="1006" width="4.296875" style="158" customWidth="1"/>
    <col min="1007" max="1007" width="42.5" style="158" customWidth="1"/>
    <col min="1008" max="1008" width="8.8984375" style="158" customWidth="1"/>
    <col min="1009" max="1010" width="8.19921875" style="158" customWidth="1"/>
    <col min="1011" max="1011" width="9.59765625" style="158" customWidth="1"/>
    <col min="1012" max="1012" width="8.59765625" style="158" customWidth="1"/>
    <col min="1013" max="1014" width="7.5" style="158" customWidth="1"/>
    <col min="1015" max="1020" width="7" style="158" customWidth="1"/>
    <col min="1021" max="1035" width="8.796875" style="158"/>
    <col min="1036" max="1036" width="10.69921875" style="158" customWidth="1"/>
    <col min="1037" max="1261" width="8.796875" style="158"/>
    <col min="1262" max="1262" width="4.296875" style="158" customWidth="1"/>
    <col min="1263" max="1263" width="42.5" style="158" customWidth="1"/>
    <col min="1264" max="1264" width="8.8984375" style="158" customWidth="1"/>
    <col min="1265" max="1266" width="8.19921875" style="158" customWidth="1"/>
    <col min="1267" max="1267" width="9.59765625" style="158" customWidth="1"/>
    <col min="1268" max="1268" width="8.59765625" style="158" customWidth="1"/>
    <col min="1269" max="1270" width="7.5" style="158" customWidth="1"/>
    <col min="1271" max="1276" width="7" style="158" customWidth="1"/>
    <col min="1277" max="1291" width="8.796875" style="158"/>
    <col min="1292" max="1292" width="10.69921875" style="158" customWidth="1"/>
    <col min="1293" max="1517" width="8.796875" style="158"/>
    <col min="1518" max="1518" width="4.296875" style="158" customWidth="1"/>
    <col min="1519" max="1519" width="42.5" style="158" customWidth="1"/>
    <col min="1520" max="1520" width="8.8984375" style="158" customWidth="1"/>
    <col min="1521" max="1522" width="8.19921875" style="158" customWidth="1"/>
    <col min="1523" max="1523" width="9.59765625" style="158" customWidth="1"/>
    <col min="1524" max="1524" width="8.59765625" style="158" customWidth="1"/>
    <col min="1525" max="1526" width="7.5" style="158" customWidth="1"/>
    <col min="1527" max="1532" width="7" style="158" customWidth="1"/>
    <col min="1533" max="1547" width="8.796875" style="158"/>
    <col min="1548" max="1548" width="10.69921875" style="158" customWidth="1"/>
    <col min="1549" max="1773" width="8.796875" style="158"/>
    <col min="1774" max="1774" width="4.296875" style="158" customWidth="1"/>
    <col min="1775" max="1775" width="42.5" style="158" customWidth="1"/>
    <col min="1776" max="1776" width="8.8984375" style="158" customWidth="1"/>
    <col min="1777" max="1778" width="8.19921875" style="158" customWidth="1"/>
    <col min="1779" max="1779" width="9.59765625" style="158" customWidth="1"/>
    <col min="1780" max="1780" width="8.59765625" style="158" customWidth="1"/>
    <col min="1781" max="1782" width="7.5" style="158" customWidth="1"/>
    <col min="1783" max="1788" width="7" style="158" customWidth="1"/>
    <col min="1789" max="1803" width="8.796875" style="158"/>
    <col min="1804" max="1804" width="10.69921875" style="158" customWidth="1"/>
    <col min="1805" max="2029" width="8.796875" style="158"/>
    <col min="2030" max="2030" width="4.296875" style="158" customWidth="1"/>
    <col min="2031" max="2031" width="42.5" style="158" customWidth="1"/>
    <col min="2032" max="2032" width="8.8984375" style="158" customWidth="1"/>
    <col min="2033" max="2034" width="8.19921875" style="158" customWidth="1"/>
    <col min="2035" max="2035" width="9.59765625" style="158" customWidth="1"/>
    <col min="2036" max="2036" width="8.59765625" style="158" customWidth="1"/>
    <col min="2037" max="2038" width="7.5" style="158" customWidth="1"/>
    <col min="2039" max="2044" width="7" style="158" customWidth="1"/>
    <col min="2045" max="2059" width="8.796875" style="158"/>
    <col min="2060" max="2060" width="10.69921875" style="158" customWidth="1"/>
    <col min="2061" max="2285" width="8.796875" style="158"/>
    <col min="2286" max="2286" width="4.296875" style="158" customWidth="1"/>
    <col min="2287" max="2287" width="42.5" style="158" customWidth="1"/>
    <col min="2288" max="2288" width="8.8984375" style="158" customWidth="1"/>
    <col min="2289" max="2290" width="8.19921875" style="158" customWidth="1"/>
    <col min="2291" max="2291" width="9.59765625" style="158" customWidth="1"/>
    <col min="2292" max="2292" width="8.59765625" style="158" customWidth="1"/>
    <col min="2293" max="2294" width="7.5" style="158" customWidth="1"/>
    <col min="2295" max="2300" width="7" style="158" customWidth="1"/>
    <col min="2301" max="2315" width="8.796875" style="158"/>
    <col min="2316" max="2316" width="10.69921875" style="158" customWidth="1"/>
    <col min="2317" max="2541" width="8.796875" style="158"/>
    <col min="2542" max="2542" width="4.296875" style="158" customWidth="1"/>
    <col min="2543" max="2543" width="42.5" style="158" customWidth="1"/>
    <col min="2544" max="2544" width="8.8984375" style="158" customWidth="1"/>
    <col min="2545" max="2546" width="8.19921875" style="158" customWidth="1"/>
    <col min="2547" max="2547" width="9.59765625" style="158" customWidth="1"/>
    <col min="2548" max="2548" width="8.59765625" style="158" customWidth="1"/>
    <col min="2549" max="2550" width="7.5" style="158" customWidth="1"/>
    <col min="2551" max="2556" width="7" style="158" customWidth="1"/>
    <col min="2557" max="2571" width="8.796875" style="158"/>
    <col min="2572" max="2572" width="10.69921875" style="158" customWidth="1"/>
    <col min="2573" max="2797" width="8.796875" style="158"/>
    <col min="2798" max="2798" width="4.296875" style="158" customWidth="1"/>
    <col min="2799" max="2799" width="42.5" style="158" customWidth="1"/>
    <col min="2800" max="2800" width="8.8984375" style="158" customWidth="1"/>
    <col min="2801" max="2802" width="8.19921875" style="158" customWidth="1"/>
    <col min="2803" max="2803" width="9.59765625" style="158" customWidth="1"/>
    <col min="2804" max="2804" width="8.59765625" style="158" customWidth="1"/>
    <col min="2805" max="2806" width="7.5" style="158" customWidth="1"/>
    <col min="2807" max="2812" width="7" style="158" customWidth="1"/>
    <col min="2813" max="2827" width="8.796875" style="158"/>
    <col min="2828" max="2828" width="10.69921875" style="158" customWidth="1"/>
    <col min="2829" max="3053" width="8.796875" style="158"/>
    <col min="3054" max="3054" width="4.296875" style="158" customWidth="1"/>
    <col min="3055" max="3055" width="42.5" style="158" customWidth="1"/>
    <col min="3056" max="3056" width="8.8984375" style="158" customWidth="1"/>
    <col min="3057" max="3058" width="8.19921875" style="158" customWidth="1"/>
    <col min="3059" max="3059" width="9.59765625" style="158" customWidth="1"/>
    <col min="3060" max="3060" width="8.59765625" style="158" customWidth="1"/>
    <col min="3061" max="3062" width="7.5" style="158" customWidth="1"/>
    <col min="3063" max="3068" width="7" style="158" customWidth="1"/>
    <col min="3069" max="3083" width="8.796875" style="158"/>
    <col min="3084" max="3084" width="10.69921875" style="158" customWidth="1"/>
    <col min="3085" max="3309" width="8.796875" style="158"/>
    <col min="3310" max="3310" width="4.296875" style="158" customWidth="1"/>
    <col min="3311" max="3311" width="42.5" style="158" customWidth="1"/>
    <col min="3312" max="3312" width="8.8984375" style="158" customWidth="1"/>
    <col min="3313" max="3314" width="8.19921875" style="158" customWidth="1"/>
    <col min="3315" max="3315" width="9.59765625" style="158" customWidth="1"/>
    <col min="3316" max="3316" width="8.59765625" style="158" customWidth="1"/>
    <col min="3317" max="3318" width="7.5" style="158" customWidth="1"/>
    <col min="3319" max="3324" width="7" style="158" customWidth="1"/>
    <col min="3325" max="3339" width="8.796875" style="158"/>
    <col min="3340" max="3340" width="10.69921875" style="158" customWidth="1"/>
    <col min="3341" max="3565" width="8.796875" style="158"/>
    <col min="3566" max="3566" width="4.296875" style="158" customWidth="1"/>
    <col min="3567" max="3567" width="42.5" style="158" customWidth="1"/>
    <col min="3568" max="3568" width="8.8984375" style="158" customWidth="1"/>
    <col min="3569" max="3570" width="8.19921875" style="158" customWidth="1"/>
    <col min="3571" max="3571" width="9.59765625" style="158" customWidth="1"/>
    <col min="3572" max="3572" width="8.59765625" style="158" customWidth="1"/>
    <col min="3573" max="3574" width="7.5" style="158" customWidth="1"/>
    <col min="3575" max="3580" width="7" style="158" customWidth="1"/>
    <col min="3581" max="3595" width="8.796875" style="158"/>
    <col min="3596" max="3596" width="10.69921875" style="158" customWidth="1"/>
    <col min="3597" max="3821" width="8.796875" style="158"/>
    <col min="3822" max="3822" width="4.296875" style="158" customWidth="1"/>
    <col min="3823" max="3823" width="42.5" style="158" customWidth="1"/>
    <col min="3824" max="3824" width="8.8984375" style="158" customWidth="1"/>
    <col min="3825" max="3826" width="8.19921875" style="158" customWidth="1"/>
    <col min="3827" max="3827" width="9.59765625" style="158" customWidth="1"/>
    <col min="3828" max="3828" width="8.59765625" style="158" customWidth="1"/>
    <col min="3829" max="3830" width="7.5" style="158" customWidth="1"/>
    <col min="3831" max="3836" width="7" style="158" customWidth="1"/>
    <col min="3837" max="3851" width="8.796875" style="158"/>
    <col min="3852" max="3852" width="10.69921875" style="158" customWidth="1"/>
    <col min="3853" max="4077" width="8.796875" style="158"/>
    <col min="4078" max="4078" width="4.296875" style="158" customWidth="1"/>
    <col min="4079" max="4079" width="42.5" style="158" customWidth="1"/>
    <col min="4080" max="4080" width="8.8984375" style="158" customWidth="1"/>
    <col min="4081" max="4082" width="8.19921875" style="158" customWidth="1"/>
    <col min="4083" max="4083" width="9.59765625" style="158" customWidth="1"/>
    <col min="4084" max="4084" width="8.59765625" style="158" customWidth="1"/>
    <col min="4085" max="4086" width="7.5" style="158" customWidth="1"/>
    <col min="4087" max="4092" width="7" style="158" customWidth="1"/>
    <col min="4093" max="4107" width="8.796875" style="158"/>
    <col min="4108" max="4108" width="10.69921875" style="158" customWidth="1"/>
    <col min="4109" max="4333" width="8.796875" style="158"/>
    <col min="4334" max="4334" width="4.296875" style="158" customWidth="1"/>
    <col min="4335" max="4335" width="42.5" style="158" customWidth="1"/>
    <col min="4336" max="4336" width="8.8984375" style="158" customWidth="1"/>
    <col min="4337" max="4338" width="8.19921875" style="158" customWidth="1"/>
    <col min="4339" max="4339" width="9.59765625" style="158" customWidth="1"/>
    <col min="4340" max="4340" width="8.59765625" style="158" customWidth="1"/>
    <col min="4341" max="4342" width="7.5" style="158" customWidth="1"/>
    <col min="4343" max="4348" width="7" style="158" customWidth="1"/>
    <col min="4349" max="4363" width="8.796875" style="158"/>
    <col min="4364" max="4364" width="10.69921875" style="158" customWidth="1"/>
    <col min="4365" max="4589" width="8.796875" style="158"/>
    <col min="4590" max="4590" width="4.296875" style="158" customWidth="1"/>
    <col min="4591" max="4591" width="42.5" style="158" customWidth="1"/>
    <col min="4592" max="4592" width="8.8984375" style="158" customWidth="1"/>
    <col min="4593" max="4594" width="8.19921875" style="158" customWidth="1"/>
    <col min="4595" max="4595" width="9.59765625" style="158" customWidth="1"/>
    <col min="4596" max="4596" width="8.59765625" style="158" customWidth="1"/>
    <col min="4597" max="4598" width="7.5" style="158" customWidth="1"/>
    <col min="4599" max="4604" width="7" style="158" customWidth="1"/>
    <col min="4605" max="4619" width="8.796875" style="158"/>
    <col min="4620" max="4620" width="10.69921875" style="158" customWidth="1"/>
    <col min="4621" max="4845" width="8.796875" style="158"/>
    <col min="4846" max="4846" width="4.296875" style="158" customWidth="1"/>
    <col min="4847" max="4847" width="42.5" style="158" customWidth="1"/>
    <col min="4848" max="4848" width="8.8984375" style="158" customWidth="1"/>
    <col min="4849" max="4850" width="8.19921875" style="158" customWidth="1"/>
    <col min="4851" max="4851" width="9.59765625" style="158" customWidth="1"/>
    <col min="4852" max="4852" width="8.59765625" style="158" customWidth="1"/>
    <col min="4853" max="4854" width="7.5" style="158" customWidth="1"/>
    <col min="4855" max="4860" width="7" style="158" customWidth="1"/>
    <col min="4861" max="4875" width="8.796875" style="158"/>
    <col min="4876" max="4876" width="10.69921875" style="158" customWidth="1"/>
    <col min="4877" max="5101" width="8.796875" style="158"/>
    <col min="5102" max="5102" width="4.296875" style="158" customWidth="1"/>
    <col min="5103" max="5103" width="42.5" style="158" customWidth="1"/>
    <col min="5104" max="5104" width="8.8984375" style="158" customWidth="1"/>
    <col min="5105" max="5106" width="8.19921875" style="158" customWidth="1"/>
    <col min="5107" max="5107" width="9.59765625" style="158" customWidth="1"/>
    <col min="5108" max="5108" width="8.59765625" style="158" customWidth="1"/>
    <col min="5109" max="5110" width="7.5" style="158" customWidth="1"/>
    <col min="5111" max="5116" width="7" style="158" customWidth="1"/>
    <col min="5117" max="5131" width="8.796875" style="158"/>
    <col min="5132" max="5132" width="10.69921875" style="158" customWidth="1"/>
    <col min="5133" max="5357" width="8.796875" style="158"/>
    <col min="5358" max="5358" width="4.296875" style="158" customWidth="1"/>
    <col min="5359" max="5359" width="42.5" style="158" customWidth="1"/>
    <col min="5360" max="5360" width="8.8984375" style="158" customWidth="1"/>
    <col min="5361" max="5362" width="8.19921875" style="158" customWidth="1"/>
    <col min="5363" max="5363" width="9.59765625" style="158" customWidth="1"/>
    <col min="5364" max="5364" width="8.59765625" style="158" customWidth="1"/>
    <col min="5365" max="5366" width="7.5" style="158" customWidth="1"/>
    <col min="5367" max="5372" width="7" style="158" customWidth="1"/>
    <col min="5373" max="5387" width="8.796875" style="158"/>
    <col min="5388" max="5388" width="10.69921875" style="158" customWidth="1"/>
    <col min="5389" max="5613" width="8.796875" style="158"/>
    <col min="5614" max="5614" width="4.296875" style="158" customWidth="1"/>
    <col min="5615" max="5615" width="42.5" style="158" customWidth="1"/>
    <col min="5616" max="5616" width="8.8984375" style="158" customWidth="1"/>
    <col min="5617" max="5618" width="8.19921875" style="158" customWidth="1"/>
    <col min="5619" max="5619" width="9.59765625" style="158" customWidth="1"/>
    <col min="5620" max="5620" width="8.59765625" style="158" customWidth="1"/>
    <col min="5621" max="5622" width="7.5" style="158" customWidth="1"/>
    <col min="5623" max="5628" width="7" style="158" customWidth="1"/>
    <col min="5629" max="5643" width="8.796875" style="158"/>
    <col min="5644" max="5644" width="10.69921875" style="158" customWidth="1"/>
    <col min="5645" max="5869" width="8.796875" style="158"/>
    <col min="5870" max="5870" width="4.296875" style="158" customWidth="1"/>
    <col min="5871" max="5871" width="42.5" style="158" customWidth="1"/>
    <col min="5872" max="5872" width="8.8984375" style="158" customWidth="1"/>
    <col min="5873" max="5874" width="8.19921875" style="158" customWidth="1"/>
    <col min="5875" max="5875" width="9.59765625" style="158" customWidth="1"/>
    <col min="5876" max="5876" width="8.59765625" style="158" customWidth="1"/>
    <col min="5877" max="5878" width="7.5" style="158" customWidth="1"/>
    <col min="5879" max="5884" width="7" style="158" customWidth="1"/>
    <col min="5885" max="5899" width="8.796875" style="158"/>
    <col min="5900" max="5900" width="10.69921875" style="158" customWidth="1"/>
    <col min="5901" max="6125" width="8.796875" style="158"/>
    <col min="6126" max="6126" width="4.296875" style="158" customWidth="1"/>
    <col min="6127" max="6127" width="42.5" style="158" customWidth="1"/>
    <col min="6128" max="6128" width="8.8984375" style="158" customWidth="1"/>
    <col min="6129" max="6130" width="8.19921875" style="158" customWidth="1"/>
    <col min="6131" max="6131" width="9.59765625" style="158" customWidth="1"/>
    <col min="6132" max="6132" width="8.59765625" style="158" customWidth="1"/>
    <col min="6133" max="6134" width="7.5" style="158" customWidth="1"/>
    <col min="6135" max="6140" width="7" style="158" customWidth="1"/>
    <col min="6141" max="6155" width="8.796875" style="158"/>
    <col min="6156" max="6156" width="10.69921875" style="158" customWidth="1"/>
    <col min="6157" max="6381" width="8.796875" style="158"/>
    <col min="6382" max="6382" width="4.296875" style="158" customWidth="1"/>
    <col min="6383" max="6383" width="42.5" style="158" customWidth="1"/>
    <col min="6384" max="6384" width="8.8984375" style="158" customWidth="1"/>
    <col min="6385" max="6386" width="8.19921875" style="158" customWidth="1"/>
    <col min="6387" max="6387" width="9.59765625" style="158" customWidth="1"/>
    <col min="6388" max="6388" width="8.59765625" style="158" customWidth="1"/>
    <col min="6389" max="6390" width="7.5" style="158" customWidth="1"/>
    <col min="6391" max="6396" width="7" style="158" customWidth="1"/>
    <col min="6397" max="6411" width="8.796875" style="158"/>
    <col min="6412" max="6412" width="10.69921875" style="158" customWidth="1"/>
    <col min="6413" max="6637" width="8.796875" style="158"/>
    <col min="6638" max="6638" width="4.296875" style="158" customWidth="1"/>
    <col min="6639" max="6639" width="42.5" style="158" customWidth="1"/>
    <col min="6640" max="6640" width="8.8984375" style="158" customWidth="1"/>
    <col min="6641" max="6642" width="8.19921875" style="158" customWidth="1"/>
    <col min="6643" max="6643" width="9.59765625" style="158" customWidth="1"/>
    <col min="6644" max="6644" width="8.59765625" style="158" customWidth="1"/>
    <col min="6645" max="6646" width="7.5" style="158" customWidth="1"/>
    <col min="6647" max="6652" width="7" style="158" customWidth="1"/>
    <col min="6653" max="6667" width="8.796875" style="158"/>
    <col min="6668" max="6668" width="10.69921875" style="158" customWidth="1"/>
    <col min="6669" max="6893" width="8.796875" style="158"/>
    <col min="6894" max="6894" width="4.296875" style="158" customWidth="1"/>
    <col min="6895" max="6895" width="42.5" style="158" customWidth="1"/>
    <col min="6896" max="6896" width="8.8984375" style="158" customWidth="1"/>
    <col min="6897" max="6898" width="8.19921875" style="158" customWidth="1"/>
    <col min="6899" max="6899" width="9.59765625" style="158" customWidth="1"/>
    <col min="6900" max="6900" width="8.59765625" style="158" customWidth="1"/>
    <col min="6901" max="6902" width="7.5" style="158" customWidth="1"/>
    <col min="6903" max="6908" width="7" style="158" customWidth="1"/>
    <col min="6909" max="6923" width="8.796875" style="158"/>
    <col min="6924" max="6924" width="10.69921875" style="158" customWidth="1"/>
    <col min="6925" max="7149" width="8.796875" style="158"/>
    <col min="7150" max="7150" width="4.296875" style="158" customWidth="1"/>
    <col min="7151" max="7151" width="42.5" style="158" customWidth="1"/>
    <col min="7152" max="7152" width="8.8984375" style="158" customWidth="1"/>
    <col min="7153" max="7154" width="8.19921875" style="158" customWidth="1"/>
    <col min="7155" max="7155" width="9.59765625" style="158" customWidth="1"/>
    <col min="7156" max="7156" width="8.59765625" style="158" customWidth="1"/>
    <col min="7157" max="7158" width="7.5" style="158" customWidth="1"/>
    <col min="7159" max="7164" width="7" style="158" customWidth="1"/>
    <col min="7165" max="7179" width="8.796875" style="158"/>
    <col min="7180" max="7180" width="10.69921875" style="158" customWidth="1"/>
    <col min="7181" max="7405" width="8.796875" style="158"/>
    <col min="7406" max="7406" width="4.296875" style="158" customWidth="1"/>
    <col min="7407" max="7407" width="42.5" style="158" customWidth="1"/>
    <col min="7408" max="7408" width="8.8984375" style="158" customWidth="1"/>
    <col min="7409" max="7410" width="8.19921875" style="158" customWidth="1"/>
    <col min="7411" max="7411" width="9.59765625" style="158" customWidth="1"/>
    <col min="7412" max="7412" width="8.59765625" style="158" customWidth="1"/>
    <col min="7413" max="7414" width="7.5" style="158" customWidth="1"/>
    <col min="7415" max="7420" width="7" style="158" customWidth="1"/>
    <col min="7421" max="7435" width="8.796875" style="158"/>
    <col min="7436" max="7436" width="10.69921875" style="158" customWidth="1"/>
    <col min="7437" max="7661" width="8.796875" style="158"/>
    <col min="7662" max="7662" width="4.296875" style="158" customWidth="1"/>
    <col min="7663" max="7663" width="42.5" style="158" customWidth="1"/>
    <col min="7664" max="7664" width="8.8984375" style="158" customWidth="1"/>
    <col min="7665" max="7666" width="8.19921875" style="158" customWidth="1"/>
    <col min="7667" max="7667" width="9.59765625" style="158" customWidth="1"/>
    <col min="7668" max="7668" width="8.59765625" style="158" customWidth="1"/>
    <col min="7669" max="7670" width="7.5" style="158" customWidth="1"/>
    <col min="7671" max="7676" width="7" style="158" customWidth="1"/>
    <col min="7677" max="7691" width="8.796875" style="158"/>
    <col min="7692" max="7692" width="10.69921875" style="158" customWidth="1"/>
    <col min="7693" max="7917" width="8.796875" style="158"/>
    <col min="7918" max="7918" width="4.296875" style="158" customWidth="1"/>
    <col min="7919" max="7919" width="42.5" style="158" customWidth="1"/>
    <col min="7920" max="7920" width="8.8984375" style="158" customWidth="1"/>
    <col min="7921" max="7922" width="8.19921875" style="158" customWidth="1"/>
    <col min="7923" max="7923" width="9.59765625" style="158" customWidth="1"/>
    <col min="7924" max="7924" width="8.59765625" style="158" customWidth="1"/>
    <col min="7925" max="7926" width="7.5" style="158" customWidth="1"/>
    <col min="7927" max="7932" width="7" style="158" customWidth="1"/>
    <col min="7933" max="7947" width="8.796875" style="158"/>
    <col min="7948" max="7948" width="10.69921875" style="158" customWidth="1"/>
    <col min="7949" max="8173" width="8.796875" style="158"/>
    <col min="8174" max="8174" width="4.296875" style="158" customWidth="1"/>
    <col min="8175" max="8175" width="42.5" style="158" customWidth="1"/>
    <col min="8176" max="8176" width="8.8984375" style="158" customWidth="1"/>
    <col min="8177" max="8178" width="8.19921875" style="158" customWidth="1"/>
    <col min="8179" max="8179" width="9.59765625" style="158" customWidth="1"/>
    <col min="8180" max="8180" width="8.59765625" style="158" customWidth="1"/>
    <col min="8181" max="8182" width="7.5" style="158" customWidth="1"/>
    <col min="8183" max="8188" width="7" style="158" customWidth="1"/>
    <col min="8189" max="8203" width="8.796875" style="158"/>
    <col min="8204" max="8204" width="10.69921875" style="158" customWidth="1"/>
    <col min="8205" max="8429" width="8.796875" style="158"/>
    <col min="8430" max="8430" width="4.296875" style="158" customWidth="1"/>
    <col min="8431" max="8431" width="42.5" style="158" customWidth="1"/>
    <col min="8432" max="8432" width="8.8984375" style="158" customWidth="1"/>
    <col min="8433" max="8434" width="8.19921875" style="158" customWidth="1"/>
    <col min="8435" max="8435" width="9.59765625" style="158" customWidth="1"/>
    <col min="8436" max="8436" width="8.59765625" style="158" customWidth="1"/>
    <col min="8437" max="8438" width="7.5" style="158" customWidth="1"/>
    <col min="8439" max="8444" width="7" style="158" customWidth="1"/>
    <col min="8445" max="8459" width="8.796875" style="158"/>
    <col min="8460" max="8460" width="10.69921875" style="158" customWidth="1"/>
    <col min="8461" max="8685" width="8.796875" style="158"/>
    <col min="8686" max="8686" width="4.296875" style="158" customWidth="1"/>
    <col min="8687" max="8687" width="42.5" style="158" customWidth="1"/>
    <col min="8688" max="8688" width="8.8984375" style="158" customWidth="1"/>
    <col min="8689" max="8690" width="8.19921875" style="158" customWidth="1"/>
    <col min="8691" max="8691" width="9.59765625" style="158" customWidth="1"/>
    <col min="8692" max="8692" width="8.59765625" style="158" customWidth="1"/>
    <col min="8693" max="8694" width="7.5" style="158" customWidth="1"/>
    <col min="8695" max="8700" width="7" style="158" customWidth="1"/>
    <col min="8701" max="8715" width="8.796875" style="158"/>
    <col min="8716" max="8716" width="10.69921875" style="158" customWidth="1"/>
    <col min="8717" max="8941" width="8.796875" style="158"/>
    <col min="8942" max="8942" width="4.296875" style="158" customWidth="1"/>
    <col min="8943" max="8943" width="42.5" style="158" customWidth="1"/>
    <col min="8944" max="8944" width="8.8984375" style="158" customWidth="1"/>
    <col min="8945" max="8946" width="8.19921875" style="158" customWidth="1"/>
    <col min="8947" max="8947" width="9.59765625" style="158" customWidth="1"/>
    <col min="8948" max="8948" width="8.59765625" style="158" customWidth="1"/>
    <col min="8949" max="8950" width="7.5" style="158" customWidth="1"/>
    <col min="8951" max="8956" width="7" style="158" customWidth="1"/>
    <col min="8957" max="8971" width="8.796875" style="158"/>
    <col min="8972" max="8972" width="10.69921875" style="158" customWidth="1"/>
    <col min="8973" max="9197" width="8.796875" style="158"/>
    <col min="9198" max="9198" width="4.296875" style="158" customWidth="1"/>
    <col min="9199" max="9199" width="42.5" style="158" customWidth="1"/>
    <col min="9200" max="9200" width="8.8984375" style="158" customWidth="1"/>
    <col min="9201" max="9202" width="8.19921875" style="158" customWidth="1"/>
    <col min="9203" max="9203" width="9.59765625" style="158" customWidth="1"/>
    <col min="9204" max="9204" width="8.59765625" style="158" customWidth="1"/>
    <col min="9205" max="9206" width="7.5" style="158" customWidth="1"/>
    <col min="9207" max="9212" width="7" style="158" customWidth="1"/>
    <col min="9213" max="9227" width="8.796875" style="158"/>
    <col min="9228" max="9228" width="10.69921875" style="158" customWidth="1"/>
    <col min="9229" max="9453" width="8.796875" style="158"/>
    <col min="9454" max="9454" width="4.296875" style="158" customWidth="1"/>
    <col min="9455" max="9455" width="42.5" style="158" customWidth="1"/>
    <col min="9456" max="9456" width="8.8984375" style="158" customWidth="1"/>
    <col min="9457" max="9458" width="8.19921875" style="158" customWidth="1"/>
    <col min="9459" max="9459" width="9.59765625" style="158" customWidth="1"/>
    <col min="9460" max="9460" width="8.59765625" style="158" customWidth="1"/>
    <col min="9461" max="9462" width="7.5" style="158" customWidth="1"/>
    <col min="9463" max="9468" width="7" style="158" customWidth="1"/>
    <col min="9469" max="9483" width="8.796875" style="158"/>
    <col min="9484" max="9484" width="10.69921875" style="158" customWidth="1"/>
    <col min="9485" max="9709" width="8.796875" style="158"/>
    <col min="9710" max="9710" width="4.296875" style="158" customWidth="1"/>
    <col min="9711" max="9711" width="42.5" style="158" customWidth="1"/>
    <col min="9712" max="9712" width="8.8984375" style="158" customWidth="1"/>
    <col min="9713" max="9714" width="8.19921875" style="158" customWidth="1"/>
    <col min="9715" max="9715" width="9.59765625" style="158" customWidth="1"/>
    <col min="9716" max="9716" width="8.59765625" style="158" customWidth="1"/>
    <col min="9717" max="9718" width="7.5" style="158" customWidth="1"/>
    <col min="9719" max="9724" width="7" style="158" customWidth="1"/>
    <col min="9725" max="9739" width="8.796875" style="158"/>
    <col min="9740" max="9740" width="10.69921875" style="158" customWidth="1"/>
    <col min="9741" max="9965" width="8.796875" style="158"/>
    <col min="9966" max="9966" width="4.296875" style="158" customWidth="1"/>
    <col min="9967" max="9967" width="42.5" style="158" customWidth="1"/>
    <col min="9968" max="9968" width="8.8984375" style="158" customWidth="1"/>
    <col min="9969" max="9970" width="8.19921875" style="158" customWidth="1"/>
    <col min="9971" max="9971" width="9.59765625" style="158" customWidth="1"/>
    <col min="9972" max="9972" width="8.59765625" style="158" customWidth="1"/>
    <col min="9973" max="9974" width="7.5" style="158" customWidth="1"/>
    <col min="9975" max="9980" width="7" style="158" customWidth="1"/>
    <col min="9981" max="9995" width="8.796875" style="158"/>
    <col min="9996" max="9996" width="10.69921875" style="158" customWidth="1"/>
    <col min="9997" max="10221" width="8.796875" style="158"/>
    <col min="10222" max="10222" width="4.296875" style="158" customWidth="1"/>
    <col min="10223" max="10223" width="42.5" style="158" customWidth="1"/>
    <col min="10224" max="10224" width="8.8984375" style="158" customWidth="1"/>
    <col min="10225" max="10226" width="8.19921875" style="158" customWidth="1"/>
    <col min="10227" max="10227" width="9.59765625" style="158" customWidth="1"/>
    <col min="10228" max="10228" width="8.59765625" style="158" customWidth="1"/>
    <col min="10229" max="10230" width="7.5" style="158" customWidth="1"/>
    <col min="10231" max="10236" width="7" style="158" customWidth="1"/>
    <col min="10237" max="10251" width="8.796875" style="158"/>
    <col min="10252" max="10252" width="10.69921875" style="158" customWidth="1"/>
    <col min="10253" max="10477" width="8.796875" style="158"/>
    <col min="10478" max="10478" width="4.296875" style="158" customWidth="1"/>
    <col min="10479" max="10479" width="42.5" style="158" customWidth="1"/>
    <col min="10480" max="10480" width="8.8984375" style="158" customWidth="1"/>
    <col min="10481" max="10482" width="8.19921875" style="158" customWidth="1"/>
    <col min="10483" max="10483" width="9.59765625" style="158" customWidth="1"/>
    <col min="10484" max="10484" width="8.59765625" style="158" customWidth="1"/>
    <col min="10485" max="10486" width="7.5" style="158" customWidth="1"/>
    <col min="10487" max="10492" width="7" style="158" customWidth="1"/>
    <col min="10493" max="10507" width="8.796875" style="158"/>
    <col min="10508" max="10508" width="10.69921875" style="158" customWidth="1"/>
    <col min="10509" max="10733" width="8.796875" style="158"/>
    <col min="10734" max="10734" width="4.296875" style="158" customWidth="1"/>
    <col min="10735" max="10735" width="42.5" style="158" customWidth="1"/>
    <col min="10736" max="10736" width="8.8984375" style="158" customWidth="1"/>
    <col min="10737" max="10738" width="8.19921875" style="158" customWidth="1"/>
    <col min="10739" max="10739" width="9.59765625" style="158" customWidth="1"/>
    <col min="10740" max="10740" width="8.59765625" style="158" customWidth="1"/>
    <col min="10741" max="10742" width="7.5" style="158" customWidth="1"/>
    <col min="10743" max="10748" width="7" style="158" customWidth="1"/>
    <col min="10749" max="10763" width="8.796875" style="158"/>
    <col min="10764" max="10764" width="10.69921875" style="158" customWidth="1"/>
    <col min="10765" max="10989" width="8.796875" style="158"/>
    <col min="10990" max="10990" width="4.296875" style="158" customWidth="1"/>
    <col min="10991" max="10991" width="42.5" style="158" customWidth="1"/>
    <col min="10992" max="10992" width="8.8984375" style="158" customWidth="1"/>
    <col min="10993" max="10994" width="8.19921875" style="158" customWidth="1"/>
    <col min="10995" max="10995" width="9.59765625" style="158" customWidth="1"/>
    <col min="10996" max="10996" width="8.59765625" style="158" customWidth="1"/>
    <col min="10997" max="10998" width="7.5" style="158" customWidth="1"/>
    <col min="10999" max="11004" width="7" style="158" customWidth="1"/>
    <col min="11005" max="11019" width="8.796875" style="158"/>
    <col min="11020" max="11020" width="10.69921875" style="158" customWidth="1"/>
    <col min="11021" max="11245" width="8.796875" style="158"/>
    <col min="11246" max="11246" width="4.296875" style="158" customWidth="1"/>
    <col min="11247" max="11247" width="42.5" style="158" customWidth="1"/>
    <col min="11248" max="11248" width="8.8984375" style="158" customWidth="1"/>
    <col min="11249" max="11250" width="8.19921875" style="158" customWidth="1"/>
    <col min="11251" max="11251" width="9.59765625" style="158" customWidth="1"/>
    <col min="11252" max="11252" width="8.59765625" style="158" customWidth="1"/>
    <col min="11253" max="11254" width="7.5" style="158" customWidth="1"/>
    <col min="11255" max="11260" width="7" style="158" customWidth="1"/>
    <col min="11261" max="11275" width="8.796875" style="158"/>
    <col min="11276" max="11276" width="10.69921875" style="158" customWidth="1"/>
    <col min="11277" max="11501" width="8.796875" style="158"/>
    <col min="11502" max="11502" width="4.296875" style="158" customWidth="1"/>
    <col min="11503" max="11503" width="42.5" style="158" customWidth="1"/>
    <col min="11504" max="11504" width="8.8984375" style="158" customWidth="1"/>
    <col min="11505" max="11506" width="8.19921875" style="158" customWidth="1"/>
    <col min="11507" max="11507" width="9.59765625" style="158" customWidth="1"/>
    <col min="11508" max="11508" width="8.59765625" style="158" customWidth="1"/>
    <col min="11509" max="11510" width="7.5" style="158" customWidth="1"/>
    <col min="11511" max="11516" width="7" style="158" customWidth="1"/>
    <col min="11517" max="11531" width="8.796875" style="158"/>
    <col min="11532" max="11532" width="10.69921875" style="158" customWidth="1"/>
    <col min="11533" max="11757" width="8.796875" style="158"/>
    <col min="11758" max="11758" width="4.296875" style="158" customWidth="1"/>
    <col min="11759" max="11759" width="42.5" style="158" customWidth="1"/>
    <col min="11760" max="11760" width="8.8984375" style="158" customWidth="1"/>
    <col min="11761" max="11762" width="8.19921875" style="158" customWidth="1"/>
    <col min="11763" max="11763" width="9.59765625" style="158" customWidth="1"/>
    <col min="11764" max="11764" width="8.59765625" style="158" customWidth="1"/>
    <col min="11765" max="11766" width="7.5" style="158" customWidth="1"/>
    <col min="11767" max="11772" width="7" style="158" customWidth="1"/>
    <col min="11773" max="11787" width="8.796875" style="158"/>
    <col min="11788" max="11788" width="10.69921875" style="158" customWidth="1"/>
    <col min="11789" max="12013" width="8.796875" style="158"/>
    <col min="12014" max="12014" width="4.296875" style="158" customWidth="1"/>
    <col min="12015" max="12015" width="42.5" style="158" customWidth="1"/>
    <col min="12016" max="12016" width="8.8984375" style="158" customWidth="1"/>
    <col min="12017" max="12018" width="8.19921875" style="158" customWidth="1"/>
    <col min="12019" max="12019" width="9.59765625" style="158" customWidth="1"/>
    <col min="12020" max="12020" width="8.59765625" style="158" customWidth="1"/>
    <col min="12021" max="12022" width="7.5" style="158" customWidth="1"/>
    <col min="12023" max="12028" width="7" style="158" customWidth="1"/>
    <col min="12029" max="12043" width="8.796875" style="158"/>
    <col min="12044" max="12044" width="10.69921875" style="158" customWidth="1"/>
    <col min="12045" max="12269" width="8.796875" style="158"/>
    <col min="12270" max="12270" width="4.296875" style="158" customWidth="1"/>
    <col min="12271" max="12271" width="42.5" style="158" customWidth="1"/>
    <col min="12272" max="12272" width="8.8984375" style="158" customWidth="1"/>
    <col min="12273" max="12274" width="8.19921875" style="158" customWidth="1"/>
    <col min="12275" max="12275" width="9.59765625" style="158" customWidth="1"/>
    <col min="12276" max="12276" width="8.59765625" style="158" customWidth="1"/>
    <col min="12277" max="12278" width="7.5" style="158" customWidth="1"/>
    <col min="12279" max="12284" width="7" style="158" customWidth="1"/>
    <col min="12285" max="12299" width="8.796875" style="158"/>
    <col min="12300" max="12300" width="10.69921875" style="158" customWidth="1"/>
    <col min="12301" max="12525" width="8.796875" style="158"/>
    <col min="12526" max="12526" width="4.296875" style="158" customWidth="1"/>
    <col min="12527" max="12527" width="42.5" style="158" customWidth="1"/>
    <col min="12528" max="12528" width="8.8984375" style="158" customWidth="1"/>
    <col min="12529" max="12530" width="8.19921875" style="158" customWidth="1"/>
    <col min="12531" max="12531" width="9.59765625" style="158" customWidth="1"/>
    <col min="12532" max="12532" width="8.59765625" style="158" customWidth="1"/>
    <col min="12533" max="12534" width="7.5" style="158" customWidth="1"/>
    <col min="12535" max="12540" width="7" style="158" customWidth="1"/>
    <col min="12541" max="12555" width="8.796875" style="158"/>
    <col min="12556" max="12556" width="10.69921875" style="158" customWidth="1"/>
    <col min="12557" max="12781" width="8.796875" style="158"/>
    <col min="12782" max="12782" width="4.296875" style="158" customWidth="1"/>
    <col min="12783" max="12783" width="42.5" style="158" customWidth="1"/>
    <col min="12784" max="12784" width="8.8984375" style="158" customWidth="1"/>
    <col min="12785" max="12786" width="8.19921875" style="158" customWidth="1"/>
    <col min="12787" max="12787" width="9.59765625" style="158" customWidth="1"/>
    <col min="12788" max="12788" width="8.59765625" style="158" customWidth="1"/>
    <col min="12789" max="12790" width="7.5" style="158" customWidth="1"/>
    <col min="12791" max="12796" width="7" style="158" customWidth="1"/>
    <col min="12797" max="12811" width="8.796875" style="158"/>
    <col min="12812" max="12812" width="10.69921875" style="158" customWidth="1"/>
    <col min="12813" max="13037" width="8.796875" style="158"/>
    <col min="13038" max="13038" width="4.296875" style="158" customWidth="1"/>
    <col min="13039" max="13039" width="42.5" style="158" customWidth="1"/>
    <col min="13040" max="13040" width="8.8984375" style="158" customWidth="1"/>
    <col min="13041" max="13042" width="8.19921875" style="158" customWidth="1"/>
    <col min="13043" max="13043" width="9.59765625" style="158" customWidth="1"/>
    <col min="13044" max="13044" width="8.59765625" style="158" customWidth="1"/>
    <col min="13045" max="13046" width="7.5" style="158" customWidth="1"/>
    <col min="13047" max="13052" width="7" style="158" customWidth="1"/>
    <col min="13053" max="13067" width="8.796875" style="158"/>
    <col min="13068" max="13068" width="10.69921875" style="158" customWidth="1"/>
    <col min="13069" max="13293" width="8.796875" style="158"/>
    <col min="13294" max="13294" width="4.296875" style="158" customWidth="1"/>
    <col min="13295" max="13295" width="42.5" style="158" customWidth="1"/>
    <col min="13296" max="13296" width="8.8984375" style="158" customWidth="1"/>
    <col min="13297" max="13298" width="8.19921875" style="158" customWidth="1"/>
    <col min="13299" max="13299" width="9.59765625" style="158" customWidth="1"/>
    <col min="13300" max="13300" width="8.59765625" style="158" customWidth="1"/>
    <col min="13301" max="13302" width="7.5" style="158" customWidth="1"/>
    <col min="13303" max="13308" width="7" style="158" customWidth="1"/>
    <col min="13309" max="13323" width="8.796875" style="158"/>
    <col min="13324" max="13324" width="10.69921875" style="158" customWidth="1"/>
    <col min="13325" max="13549" width="8.796875" style="158"/>
    <col min="13550" max="13550" width="4.296875" style="158" customWidth="1"/>
    <col min="13551" max="13551" width="42.5" style="158" customWidth="1"/>
    <col min="13552" max="13552" width="8.8984375" style="158" customWidth="1"/>
    <col min="13553" max="13554" width="8.19921875" style="158" customWidth="1"/>
    <col min="13555" max="13555" width="9.59765625" style="158" customWidth="1"/>
    <col min="13556" max="13556" width="8.59765625" style="158" customWidth="1"/>
    <col min="13557" max="13558" width="7.5" style="158" customWidth="1"/>
    <col min="13559" max="13564" width="7" style="158" customWidth="1"/>
    <col min="13565" max="13579" width="8.796875" style="158"/>
    <col min="13580" max="13580" width="10.69921875" style="158" customWidth="1"/>
    <col min="13581" max="13805" width="8.796875" style="158"/>
    <col min="13806" max="13806" width="4.296875" style="158" customWidth="1"/>
    <col min="13807" max="13807" width="42.5" style="158" customWidth="1"/>
    <col min="13808" max="13808" width="8.8984375" style="158" customWidth="1"/>
    <col min="13809" max="13810" width="8.19921875" style="158" customWidth="1"/>
    <col min="13811" max="13811" width="9.59765625" style="158" customWidth="1"/>
    <col min="13812" max="13812" width="8.59765625" style="158" customWidth="1"/>
    <col min="13813" max="13814" width="7.5" style="158" customWidth="1"/>
    <col min="13815" max="13820" width="7" style="158" customWidth="1"/>
    <col min="13821" max="13835" width="8.796875" style="158"/>
    <col min="13836" max="13836" width="10.69921875" style="158" customWidth="1"/>
    <col min="13837" max="14061" width="8.796875" style="158"/>
    <col min="14062" max="14062" width="4.296875" style="158" customWidth="1"/>
    <col min="14063" max="14063" width="42.5" style="158" customWidth="1"/>
    <col min="14064" max="14064" width="8.8984375" style="158" customWidth="1"/>
    <col min="14065" max="14066" width="8.19921875" style="158" customWidth="1"/>
    <col min="14067" max="14067" width="9.59765625" style="158" customWidth="1"/>
    <col min="14068" max="14068" width="8.59765625" style="158" customWidth="1"/>
    <col min="14069" max="14070" width="7.5" style="158" customWidth="1"/>
    <col min="14071" max="14076" width="7" style="158" customWidth="1"/>
    <col min="14077" max="14091" width="8.796875" style="158"/>
    <col min="14092" max="14092" width="10.69921875" style="158" customWidth="1"/>
    <col min="14093" max="14317" width="8.796875" style="158"/>
    <col min="14318" max="14318" width="4.296875" style="158" customWidth="1"/>
    <col min="14319" max="14319" width="42.5" style="158" customWidth="1"/>
    <col min="14320" max="14320" width="8.8984375" style="158" customWidth="1"/>
    <col min="14321" max="14322" width="8.19921875" style="158" customWidth="1"/>
    <col min="14323" max="14323" width="9.59765625" style="158" customWidth="1"/>
    <col min="14324" max="14324" width="8.59765625" style="158" customWidth="1"/>
    <col min="14325" max="14326" width="7.5" style="158" customWidth="1"/>
    <col min="14327" max="14332" width="7" style="158" customWidth="1"/>
    <col min="14333" max="14347" width="8.796875" style="158"/>
    <col min="14348" max="14348" width="10.69921875" style="158" customWidth="1"/>
    <col min="14349" max="14573" width="8.796875" style="158"/>
    <col min="14574" max="14574" width="4.296875" style="158" customWidth="1"/>
    <col min="14575" max="14575" width="42.5" style="158" customWidth="1"/>
    <col min="14576" max="14576" width="8.8984375" style="158" customWidth="1"/>
    <col min="14577" max="14578" width="8.19921875" style="158" customWidth="1"/>
    <col min="14579" max="14579" width="9.59765625" style="158" customWidth="1"/>
    <col min="14580" max="14580" width="8.59765625" style="158" customWidth="1"/>
    <col min="14581" max="14582" width="7.5" style="158" customWidth="1"/>
    <col min="14583" max="14588" width="7" style="158" customWidth="1"/>
    <col min="14589" max="14603" width="8.796875" style="158"/>
    <col min="14604" max="14604" width="10.69921875" style="158" customWidth="1"/>
    <col min="14605" max="14829" width="8.796875" style="158"/>
    <col min="14830" max="14830" width="4.296875" style="158" customWidth="1"/>
    <col min="14831" max="14831" width="42.5" style="158" customWidth="1"/>
    <col min="14832" max="14832" width="8.8984375" style="158" customWidth="1"/>
    <col min="14833" max="14834" width="8.19921875" style="158" customWidth="1"/>
    <col min="14835" max="14835" width="9.59765625" style="158" customWidth="1"/>
    <col min="14836" max="14836" width="8.59765625" style="158" customWidth="1"/>
    <col min="14837" max="14838" width="7.5" style="158" customWidth="1"/>
    <col min="14839" max="14844" width="7" style="158" customWidth="1"/>
    <col min="14845" max="14859" width="8.796875" style="158"/>
    <col min="14860" max="14860" width="10.69921875" style="158" customWidth="1"/>
    <col min="14861" max="15085" width="8.796875" style="158"/>
    <col min="15086" max="15086" width="4.296875" style="158" customWidth="1"/>
    <col min="15087" max="15087" width="42.5" style="158" customWidth="1"/>
    <col min="15088" max="15088" width="8.8984375" style="158" customWidth="1"/>
    <col min="15089" max="15090" width="8.19921875" style="158" customWidth="1"/>
    <col min="15091" max="15091" width="9.59765625" style="158" customWidth="1"/>
    <col min="15092" max="15092" width="8.59765625" style="158" customWidth="1"/>
    <col min="15093" max="15094" width="7.5" style="158" customWidth="1"/>
    <col min="15095" max="15100" width="7" style="158" customWidth="1"/>
    <col min="15101" max="15115" width="8.796875" style="158"/>
    <col min="15116" max="15116" width="10.69921875" style="158" customWidth="1"/>
    <col min="15117" max="15341" width="8.796875" style="158"/>
    <col min="15342" max="15342" width="4.296875" style="158" customWidth="1"/>
    <col min="15343" max="15343" width="42.5" style="158" customWidth="1"/>
    <col min="15344" max="15344" width="8.8984375" style="158" customWidth="1"/>
    <col min="15345" max="15346" width="8.19921875" style="158" customWidth="1"/>
    <col min="15347" max="15347" width="9.59765625" style="158" customWidth="1"/>
    <col min="15348" max="15348" width="8.59765625" style="158" customWidth="1"/>
    <col min="15349" max="15350" width="7.5" style="158" customWidth="1"/>
    <col min="15351" max="15356" width="7" style="158" customWidth="1"/>
    <col min="15357" max="15371" width="8.796875" style="158"/>
    <col min="15372" max="15372" width="10.69921875" style="158" customWidth="1"/>
    <col min="15373" max="15597" width="8.796875" style="158"/>
    <col min="15598" max="15598" width="4.296875" style="158" customWidth="1"/>
    <col min="15599" max="15599" width="42.5" style="158" customWidth="1"/>
    <col min="15600" max="15600" width="8.8984375" style="158" customWidth="1"/>
    <col min="15601" max="15602" width="8.19921875" style="158" customWidth="1"/>
    <col min="15603" max="15603" width="9.59765625" style="158" customWidth="1"/>
    <col min="15604" max="15604" width="8.59765625" style="158" customWidth="1"/>
    <col min="15605" max="15606" width="7.5" style="158" customWidth="1"/>
    <col min="15607" max="15612" width="7" style="158" customWidth="1"/>
    <col min="15613" max="15627" width="8.796875" style="158"/>
    <col min="15628" max="15628" width="10.69921875" style="158" customWidth="1"/>
    <col min="15629" max="15853" width="8.796875" style="158"/>
    <col min="15854" max="15854" width="4.296875" style="158" customWidth="1"/>
    <col min="15855" max="15855" width="42.5" style="158" customWidth="1"/>
    <col min="15856" max="15856" width="8.8984375" style="158" customWidth="1"/>
    <col min="15857" max="15858" width="8.19921875" style="158" customWidth="1"/>
    <col min="15859" max="15859" width="9.59765625" style="158" customWidth="1"/>
    <col min="15860" max="15860" width="8.59765625" style="158" customWidth="1"/>
    <col min="15861" max="15862" width="7.5" style="158" customWidth="1"/>
    <col min="15863" max="15868" width="7" style="158" customWidth="1"/>
    <col min="15869" max="15883" width="8.796875" style="158"/>
    <col min="15884" max="15884" width="10.69921875" style="158" customWidth="1"/>
    <col min="15885" max="16109" width="8.796875" style="158"/>
    <col min="16110" max="16110" width="4.296875" style="158" customWidth="1"/>
    <col min="16111" max="16111" width="42.5" style="158" customWidth="1"/>
    <col min="16112" max="16112" width="8.8984375" style="158" customWidth="1"/>
    <col min="16113" max="16114" width="8.19921875" style="158" customWidth="1"/>
    <col min="16115" max="16115" width="9.59765625" style="158" customWidth="1"/>
    <col min="16116" max="16116" width="8.59765625" style="158" customWidth="1"/>
    <col min="16117" max="16118" width="7.5" style="158" customWidth="1"/>
    <col min="16119" max="16124" width="7" style="158" customWidth="1"/>
    <col min="16125" max="16139" width="8.796875" style="158"/>
    <col min="16140" max="16140" width="10.69921875" style="158" customWidth="1"/>
    <col min="16141" max="16384" width="8.796875" style="158"/>
  </cols>
  <sheetData>
    <row r="1" spans="1:22" x14ac:dyDescent="0.25">
      <c r="B1" s="750" t="s">
        <v>1071</v>
      </c>
      <c r="C1" s="751"/>
      <c r="D1" s="751"/>
      <c r="E1" s="751"/>
      <c r="F1" s="751"/>
      <c r="G1" s="751"/>
      <c r="H1" s="751"/>
      <c r="I1" s="751"/>
      <c r="J1" s="751"/>
      <c r="K1" s="751"/>
      <c r="L1" s="751"/>
      <c r="M1" s="751"/>
      <c r="N1" s="751"/>
      <c r="O1" s="751"/>
      <c r="P1" s="751"/>
      <c r="Q1" s="751"/>
      <c r="R1" s="751"/>
      <c r="S1" s="751"/>
      <c r="T1" s="751"/>
      <c r="U1" s="751"/>
    </row>
    <row r="3" spans="1:22" x14ac:dyDescent="0.25">
      <c r="A3" s="753" t="s">
        <v>853</v>
      </c>
      <c r="B3" s="755" t="s">
        <v>0</v>
      </c>
      <c r="C3" s="747" t="s">
        <v>1</v>
      </c>
      <c r="D3" s="748"/>
      <c r="E3" s="748"/>
      <c r="F3" s="748"/>
      <c r="G3" s="748"/>
      <c r="H3" s="749"/>
      <c r="I3" s="747" t="s">
        <v>2</v>
      </c>
      <c r="J3" s="748"/>
      <c r="K3" s="748"/>
      <c r="L3" s="748"/>
      <c r="M3" s="748"/>
      <c r="N3" s="749"/>
      <c r="O3" s="745" t="s">
        <v>3</v>
      </c>
      <c r="P3" s="747" t="s">
        <v>1126</v>
      </c>
      <c r="Q3" s="748"/>
      <c r="R3" s="748"/>
      <c r="S3" s="748"/>
      <c r="T3" s="748"/>
      <c r="U3" s="749"/>
    </row>
    <row r="4" spans="1:22" x14ac:dyDescent="0.25">
      <c r="A4" s="754"/>
      <c r="B4" s="756"/>
      <c r="C4" s="57" t="s">
        <v>4</v>
      </c>
      <c r="D4" s="53" t="s">
        <v>5</v>
      </c>
      <c r="E4" s="53" t="s">
        <v>6</v>
      </c>
      <c r="F4" s="53" t="s">
        <v>7</v>
      </c>
      <c r="G4" s="53" t="s">
        <v>8</v>
      </c>
      <c r="H4" s="53" t="s">
        <v>9</v>
      </c>
      <c r="I4" s="53" t="s">
        <v>4</v>
      </c>
      <c r="J4" s="53" t="s">
        <v>5</v>
      </c>
      <c r="K4" s="53" t="s">
        <v>6</v>
      </c>
      <c r="L4" s="53" t="s">
        <v>7</v>
      </c>
      <c r="M4" s="53" t="s">
        <v>8</v>
      </c>
      <c r="N4" s="53" t="s">
        <v>9</v>
      </c>
      <c r="O4" s="746"/>
      <c r="P4" s="53" t="s">
        <v>4</v>
      </c>
      <c r="Q4" s="53" t="s">
        <v>5</v>
      </c>
      <c r="R4" s="53" t="s">
        <v>6</v>
      </c>
      <c r="S4" s="53" t="s">
        <v>7</v>
      </c>
      <c r="T4" s="53" t="s">
        <v>8</v>
      </c>
      <c r="U4" s="53" t="s">
        <v>9</v>
      </c>
    </row>
    <row r="5" spans="1:22" ht="20.25" customHeight="1" x14ac:dyDescent="0.25">
      <c r="A5" s="52">
        <v>1</v>
      </c>
      <c r="B5" s="58" t="s">
        <v>10</v>
      </c>
      <c r="C5" s="404">
        <f>C6+C9+C11+C13+C15+C18+C20+C24+C26+C28</f>
        <v>452851.39</v>
      </c>
      <c r="D5" s="404">
        <f t="shared" ref="D5:H5" si="0">D6+D9+D11+D13+D15+D18+D20+D24+D26+D28</f>
        <v>5500</v>
      </c>
      <c r="E5" s="404">
        <f>E6+E9+E11+E13+E15+E18+E20+E24+E26+E28</f>
        <v>212201.66</v>
      </c>
      <c r="F5" s="404">
        <f>F6+F9+F11+F13+F15+F18+F20+F24+F26+F28</f>
        <v>3722.23</v>
      </c>
      <c r="G5" s="404">
        <f t="shared" si="0"/>
        <v>3122.23</v>
      </c>
      <c r="H5" s="404">
        <f t="shared" si="0"/>
        <v>228305.27000000002</v>
      </c>
      <c r="I5" s="404">
        <f>SUM(J5:N5)</f>
        <v>29012.390189999998</v>
      </c>
      <c r="J5" s="404">
        <f>J6+J9+J11+J13+J15+J18+J20+J24+J26+J28</f>
        <v>2793.8816900000002</v>
      </c>
      <c r="K5" s="404">
        <f>K6+K9+K11+K13+K15+K18+K20+K24+K26+K28</f>
        <v>12229.776229999999</v>
      </c>
      <c r="L5" s="404">
        <f>L6+L9+L11+L13+L15+L18+L20+L24+L26+L28</f>
        <v>7078.2602700000007</v>
      </c>
      <c r="M5" s="404">
        <f t="shared" ref="M5:N5" si="1">M6+M9+M11+M13+M15+M18+M20+M24+M26+M28</f>
        <v>1800</v>
      </c>
      <c r="N5" s="404">
        <f t="shared" si="1"/>
        <v>5110.4719999999998</v>
      </c>
      <c r="O5" s="51">
        <f>(I5/C5)*100</f>
        <v>6.4066028791476164</v>
      </c>
      <c r="P5" s="404">
        <f t="shared" ref="P5:P68" si="2">SUM(Q5:U5)</f>
        <v>24905.104919999998</v>
      </c>
      <c r="Q5" s="404">
        <f t="shared" ref="Q5:U5" si="3">Q6+Q9+Q11+Q13+Q15+Q18+Q20+Q24+Q26+Q28</f>
        <v>2793.8816900000002</v>
      </c>
      <c r="R5" s="404">
        <f t="shared" si="3"/>
        <v>2849.5862299999999</v>
      </c>
      <c r="S5" s="404">
        <f t="shared" si="3"/>
        <v>6498.5030000000006</v>
      </c>
      <c r="T5" s="404">
        <f t="shared" si="3"/>
        <v>1800</v>
      </c>
      <c r="U5" s="404">
        <f t="shared" si="3"/>
        <v>10963.134</v>
      </c>
      <c r="V5" s="174"/>
    </row>
    <row r="6" spans="1:22" s="59" customFormat="1" ht="31.5" x14ac:dyDescent="0.25">
      <c r="A6" s="83"/>
      <c r="B6" s="74" t="s">
        <v>11</v>
      </c>
      <c r="C6" s="404">
        <f>SUM(D6:H6)</f>
        <v>0</v>
      </c>
      <c r="D6" s="403">
        <f>D7+D8</f>
        <v>0</v>
      </c>
      <c r="E6" s="403">
        <f t="shared" ref="E6:H6" si="4">E7+E8</f>
        <v>0</v>
      </c>
      <c r="F6" s="403">
        <f t="shared" si="4"/>
        <v>0</v>
      </c>
      <c r="G6" s="403">
        <f t="shared" si="4"/>
        <v>0</v>
      </c>
      <c r="H6" s="403">
        <f t="shared" si="4"/>
        <v>0</v>
      </c>
      <c r="I6" s="404">
        <f t="shared" ref="I6:I68" si="5">SUM(J6:N6)</f>
        <v>1065.9362699999999</v>
      </c>
      <c r="J6" s="73">
        <f>J7+J8</f>
        <v>0</v>
      </c>
      <c r="K6" s="73">
        <f t="shared" ref="K6:N6" si="6">K7+K8</f>
        <v>0</v>
      </c>
      <c r="L6" s="73">
        <f t="shared" si="6"/>
        <v>1065.9362699999999</v>
      </c>
      <c r="M6" s="73">
        <f t="shared" si="6"/>
        <v>0</v>
      </c>
      <c r="N6" s="73">
        <f t="shared" si="6"/>
        <v>0</v>
      </c>
      <c r="O6" s="176" t="e">
        <f>(I6/C6)*100</f>
        <v>#DIV/0!</v>
      </c>
      <c r="P6" s="404">
        <f t="shared" si="2"/>
        <v>920.36500000000001</v>
      </c>
      <c r="Q6" s="73">
        <f>Q7+Q8</f>
        <v>0</v>
      </c>
      <c r="R6" s="73">
        <f t="shared" ref="R6:U6" si="7">R7+R8</f>
        <v>0</v>
      </c>
      <c r="S6" s="73">
        <f t="shared" si="7"/>
        <v>920.36500000000001</v>
      </c>
      <c r="T6" s="73">
        <f t="shared" si="7"/>
        <v>0</v>
      </c>
      <c r="U6" s="73">
        <f t="shared" si="7"/>
        <v>0</v>
      </c>
    </row>
    <row r="7" spans="1:22" s="60" customFormat="1" ht="31.5" x14ac:dyDescent="0.25">
      <c r="A7" s="469"/>
      <c r="B7" s="98" t="s">
        <v>12</v>
      </c>
      <c r="C7" s="404">
        <f t="shared" ref="C7:C29" si="8">SUM(D7:H7)</f>
        <v>0</v>
      </c>
      <c r="D7" s="403">
        <v>0</v>
      </c>
      <c r="E7" s="403">
        <v>0</v>
      </c>
      <c r="F7" s="403">
        <v>0</v>
      </c>
      <c r="G7" s="403">
        <v>0</v>
      </c>
      <c r="H7" s="403">
        <v>0</v>
      </c>
      <c r="I7" s="404">
        <f t="shared" si="5"/>
        <v>1065.9362699999999</v>
      </c>
      <c r="J7" s="403">
        <v>0</v>
      </c>
      <c r="K7" s="403">
        <v>0</v>
      </c>
      <c r="L7" s="423">
        <v>1065.9362699999999</v>
      </c>
      <c r="M7" s="403">
        <v>0</v>
      </c>
      <c r="N7" s="403">
        <v>0</v>
      </c>
      <c r="O7" s="110" t="e">
        <f t="shared" ref="O7:O29" si="9">(I7/C7)*100</f>
        <v>#DIV/0!</v>
      </c>
      <c r="P7" s="404">
        <f t="shared" si="2"/>
        <v>920.36500000000001</v>
      </c>
      <c r="Q7" s="403">
        <v>0</v>
      </c>
      <c r="R7" s="403">
        <v>0</v>
      </c>
      <c r="S7" s="423">
        <v>920.36500000000001</v>
      </c>
      <c r="T7" s="403">
        <v>0</v>
      </c>
      <c r="U7" s="403">
        <v>0</v>
      </c>
    </row>
    <row r="8" spans="1:22" s="60" customFormat="1" ht="31.5" x14ac:dyDescent="0.25">
      <c r="A8" s="469"/>
      <c r="B8" s="98" t="s">
        <v>13</v>
      </c>
      <c r="C8" s="404">
        <f t="shared" si="8"/>
        <v>0</v>
      </c>
      <c r="D8" s="403">
        <v>0</v>
      </c>
      <c r="E8" s="403">
        <v>0</v>
      </c>
      <c r="F8" s="403">
        <v>0</v>
      </c>
      <c r="G8" s="403">
        <v>0</v>
      </c>
      <c r="H8" s="403">
        <v>0</v>
      </c>
      <c r="I8" s="404">
        <f t="shared" si="5"/>
        <v>0</v>
      </c>
      <c r="J8" s="403">
        <v>0</v>
      </c>
      <c r="K8" s="403">
        <v>0</v>
      </c>
      <c r="L8" s="402">
        <v>0</v>
      </c>
      <c r="M8" s="403">
        <v>0</v>
      </c>
      <c r="N8" s="403">
        <v>0</v>
      </c>
      <c r="O8" s="110" t="e">
        <f t="shared" si="9"/>
        <v>#DIV/0!</v>
      </c>
      <c r="P8" s="404">
        <f t="shared" si="2"/>
        <v>0</v>
      </c>
      <c r="Q8" s="403">
        <v>0</v>
      </c>
      <c r="R8" s="403">
        <v>0</v>
      </c>
      <c r="S8" s="402">
        <v>0</v>
      </c>
      <c r="T8" s="403">
        <v>0</v>
      </c>
      <c r="U8" s="403">
        <v>0</v>
      </c>
    </row>
    <row r="9" spans="1:22" s="59" customFormat="1" ht="19.5" customHeight="1" x14ac:dyDescent="0.25">
      <c r="A9" s="63"/>
      <c r="B9" s="159" t="s">
        <v>14</v>
      </c>
      <c r="C9" s="404">
        <f t="shared" si="8"/>
        <v>348892.25</v>
      </c>
      <c r="D9" s="403">
        <f>D10</f>
        <v>0</v>
      </c>
      <c r="E9" s="403">
        <f t="shared" ref="E9:H9" si="10">E10</f>
        <v>172701.66</v>
      </c>
      <c r="F9" s="403">
        <f t="shared" si="10"/>
        <v>872.23</v>
      </c>
      <c r="G9" s="403">
        <f t="shared" si="10"/>
        <v>872.23</v>
      </c>
      <c r="H9" s="403">
        <f t="shared" si="10"/>
        <v>174446.13</v>
      </c>
      <c r="I9" s="404">
        <f t="shared" si="5"/>
        <v>5810.598</v>
      </c>
      <c r="J9" s="73">
        <f>J10</f>
        <v>0</v>
      </c>
      <c r="K9" s="73">
        <f t="shared" ref="K9:N9" si="11">K10</f>
        <v>4196.13</v>
      </c>
      <c r="L9" s="73">
        <f t="shared" si="11"/>
        <v>1614.4680000000001</v>
      </c>
      <c r="M9" s="73">
        <f t="shared" si="11"/>
        <v>0</v>
      </c>
      <c r="N9" s="73">
        <f t="shared" si="11"/>
        <v>0</v>
      </c>
      <c r="O9" s="176">
        <f t="shared" si="9"/>
        <v>1.6654419810127625</v>
      </c>
      <c r="P9" s="404">
        <f t="shared" si="2"/>
        <v>3790.3609999999999</v>
      </c>
      <c r="Q9" s="73">
        <f>Q10</f>
        <v>0</v>
      </c>
      <c r="R9" s="73">
        <f>R10</f>
        <v>2606.64</v>
      </c>
      <c r="S9" s="73">
        <f t="shared" ref="S9:T9" si="12">S10</f>
        <v>1183.721</v>
      </c>
      <c r="T9" s="73">
        <f t="shared" si="12"/>
        <v>0</v>
      </c>
      <c r="U9" s="73">
        <f>U10</f>
        <v>0</v>
      </c>
    </row>
    <row r="10" spans="1:22" s="60" customFormat="1" ht="63" x14ac:dyDescent="0.25">
      <c r="A10" s="469"/>
      <c r="B10" s="7" t="s">
        <v>15</v>
      </c>
      <c r="C10" s="404">
        <f t="shared" si="8"/>
        <v>348892.25</v>
      </c>
      <c r="D10" s="403">
        <v>0</v>
      </c>
      <c r="E10" s="403">
        <v>172701.66</v>
      </c>
      <c r="F10" s="403">
        <v>872.23</v>
      </c>
      <c r="G10" s="403">
        <v>872.23</v>
      </c>
      <c r="H10" s="403">
        <v>174446.13</v>
      </c>
      <c r="I10" s="404">
        <f t="shared" si="5"/>
        <v>5810.598</v>
      </c>
      <c r="J10" s="403">
        <v>0</v>
      </c>
      <c r="K10" s="403">
        <v>4196.13</v>
      </c>
      <c r="L10" s="402">
        <v>1614.4680000000001</v>
      </c>
      <c r="M10" s="403">
        <v>0</v>
      </c>
      <c r="N10" s="403">
        <v>0</v>
      </c>
      <c r="O10" s="110">
        <f t="shared" si="9"/>
        <v>1.6654419810127625</v>
      </c>
      <c r="P10" s="404">
        <f t="shared" si="2"/>
        <v>3790.3609999999999</v>
      </c>
      <c r="Q10" s="403">
        <v>0</v>
      </c>
      <c r="R10" s="403">
        <v>2606.64</v>
      </c>
      <c r="S10" s="403">
        <v>1183.721</v>
      </c>
      <c r="T10" s="403">
        <v>0</v>
      </c>
      <c r="U10" s="403">
        <v>0</v>
      </c>
    </row>
    <row r="11" spans="1:22" s="61" customFormat="1" x14ac:dyDescent="0.25">
      <c r="A11" s="63"/>
      <c r="B11" s="159" t="s">
        <v>16</v>
      </c>
      <c r="C11" s="404">
        <f t="shared" si="8"/>
        <v>0</v>
      </c>
      <c r="D11" s="403">
        <f>D12</f>
        <v>0</v>
      </c>
      <c r="E11" s="403">
        <f t="shared" ref="E11:H11" si="13">E12</f>
        <v>0</v>
      </c>
      <c r="F11" s="403">
        <f t="shared" si="13"/>
        <v>0</v>
      </c>
      <c r="G11" s="403">
        <f t="shared" si="13"/>
        <v>0</v>
      </c>
      <c r="H11" s="403">
        <f t="shared" si="13"/>
        <v>0</v>
      </c>
      <c r="I11" s="404">
        <f t="shared" si="5"/>
        <v>0</v>
      </c>
      <c r="J11" s="403">
        <f>J12</f>
        <v>0</v>
      </c>
      <c r="K11" s="403">
        <f t="shared" ref="K11:N11" si="14">K12</f>
        <v>0</v>
      </c>
      <c r="L11" s="403">
        <f t="shared" si="14"/>
        <v>0</v>
      </c>
      <c r="M11" s="403">
        <f t="shared" si="14"/>
        <v>0</v>
      </c>
      <c r="N11" s="403">
        <f t="shared" si="14"/>
        <v>0</v>
      </c>
      <c r="O11" s="110" t="e">
        <f t="shared" si="9"/>
        <v>#DIV/0!</v>
      </c>
      <c r="P11" s="404">
        <f t="shared" si="2"/>
        <v>0</v>
      </c>
      <c r="Q11" s="403">
        <f>Q12</f>
        <v>0</v>
      </c>
      <c r="R11" s="403">
        <f t="shared" ref="R11:U11" si="15">R12</f>
        <v>0</v>
      </c>
      <c r="S11" s="403">
        <f t="shared" si="15"/>
        <v>0</v>
      </c>
      <c r="T11" s="403">
        <f t="shared" si="15"/>
        <v>0</v>
      </c>
      <c r="U11" s="403">
        <f t="shared" si="15"/>
        <v>0</v>
      </c>
    </row>
    <row r="12" spans="1:22" ht="31.5" x14ac:dyDescent="0.25">
      <c r="A12" s="469"/>
      <c r="B12" s="7" t="s">
        <v>17</v>
      </c>
      <c r="C12" s="404">
        <f t="shared" si="8"/>
        <v>0</v>
      </c>
      <c r="D12" s="403">
        <v>0</v>
      </c>
      <c r="E12" s="403">
        <v>0</v>
      </c>
      <c r="F12" s="403">
        <v>0</v>
      </c>
      <c r="G12" s="403">
        <v>0</v>
      </c>
      <c r="H12" s="403">
        <v>0</v>
      </c>
      <c r="I12" s="404">
        <f t="shared" si="5"/>
        <v>0</v>
      </c>
      <c r="J12" s="403">
        <v>0</v>
      </c>
      <c r="K12" s="403">
        <v>0</v>
      </c>
      <c r="L12" s="403"/>
      <c r="M12" s="403"/>
      <c r="N12" s="403"/>
      <c r="O12" s="403">
        <v>114753.07315</v>
      </c>
      <c r="P12" s="404">
        <f t="shared" si="2"/>
        <v>0</v>
      </c>
      <c r="Q12" s="403">
        <v>0</v>
      </c>
      <c r="R12" s="403">
        <v>0</v>
      </c>
      <c r="S12" s="403">
        <v>0</v>
      </c>
      <c r="T12" s="403">
        <v>0</v>
      </c>
      <c r="U12" s="403">
        <v>0</v>
      </c>
    </row>
    <row r="13" spans="1:22" s="61" customFormat="1" ht="31.5" x14ac:dyDescent="0.25">
      <c r="A13" s="63"/>
      <c r="B13" s="159" t="s">
        <v>18</v>
      </c>
      <c r="C13" s="404">
        <f t="shared" si="8"/>
        <v>0</v>
      </c>
      <c r="D13" s="403">
        <f>D14</f>
        <v>0</v>
      </c>
      <c r="E13" s="403">
        <f t="shared" ref="E13:H13" si="16">E14</f>
        <v>0</v>
      </c>
      <c r="F13" s="403">
        <f t="shared" si="16"/>
        <v>0</v>
      </c>
      <c r="G13" s="403">
        <f t="shared" si="16"/>
        <v>0</v>
      </c>
      <c r="H13" s="403">
        <f t="shared" si="16"/>
        <v>0</v>
      </c>
      <c r="I13" s="404">
        <f t="shared" si="5"/>
        <v>0</v>
      </c>
      <c r="J13" s="403">
        <f>J14</f>
        <v>0</v>
      </c>
      <c r="K13" s="403">
        <f t="shared" ref="K13:N13" si="17">K14</f>
        <v>0</v>
      </c>
      <c r="L13" s="403">
        <f t="shared" si="17"/>
        <v>0</v>
      </c>
      <c r="M13" s="403">
        <f t="shared" si="17"/>
        <v>0</v>
      </c>
      <c r="N13" s="403">
        <f t="shared" si="17"/>
        <v>0</v>
      </c>
      <c r="O13" s="110" t="e">
        <f t="shared" si="9"/>
        <v>#DIV/0!</v>
      </c>
      <c r="P13" s="404">
        <f t="shared" si="2"/>
        <v>0</v>
      </c>
      <c r="Q13" s="403">
        <f>Q14</f>
        <v>0</v>
      </c>
      <c r="R13" s="403">
        <f t="shared" ref="R13:U13" si="18">R14</f>
        <v>0</v>
      </c>
      <c r="S13" s="403">
        <f t="shared" si="18"/>
        <v>0</v>
      </c>
      <c r="T13" s="403">
        <f t="shared" si="18"/>
        <v>0</v>
      </c>
      <c r="U13" s="403">
        <f t="shared" si="18"/>
        <v>0</v>
      </c>
    </row>
    <row r="14" spans="1:22" ht="31.5" x14ac:dyDescent="0.25">
      <c r="A14" s="469"/>
      <c r="B14" s="7" t="s">
        <v>19</v>
      </c>
      <c r="C14" s="404">
        <f t="shared" si="8"/>
        <v>0</v>
      </c>
      <c r="D14" s="403">
        <v>0</v>
      </c>
      <c r="E14" s="403">
        <v>0</v>
      </c>
      <c r="F14" s="403">
        <v>0</v>
      </c>
      <c r="G14" s="403">
        <v>0</v>
      </c>
      <c r="H14" s="403">
        <v>0</v>
      </c>
      <c r="I14" s="404">
        <f t="shared" si="5"/>
        <v>0</v>
      </c>
      <c r="J14" s="403">
        <v>0</v>
      </c>
      <c r="K14" s="403">
        <v>0</v>
      </c>
      <c r="L14" s="403">
        <v>0</v>
      </c>
      <c r="M14" s="403">
        <v>0</v>
      </c>
      <c r="N14" s="403">
        <v>0</v>
      </c>
      <c r="O14" s="110" t="e">
        <f t="shared" si="9"/>
        <v>#DIV/0!</v>
      </c>
      <c r="P14" s="404">
        <f t="shared" si="2"/>
        <v>0</v>
      </c>
      <c r="Q14" s="403">
        <v>0</v>
      </c>
      <c r="R14" s="403">
        <v>0</v>
      </c>
      <c r="S14" s="403">
        <v>0</v>
      </c>
      <c r="T14" s="403">
        <v>0</v>
      </c>
      <c r="U14" s="403">
        <v>0</v>
      </c>
    </row>
    <row r="15" spans="1:22" s="61" customFormat="1" x14ac:dyDescent="0.25">
      <c r="A15" s="83"/>
      <c r="B15" s="159" t="s">
        <v>20</v>
      </c>
      <c r="C15" s="404">
        <f t="shared" si="8"/>
        <v>42200</v>
      </c>
      <c r="D15" s="403">
        <f>D16+D17</f>
        <v>0</v>
      </c>
      <c r="E15" s="403">
        <f t="shared" ref="E15:H15" si="19">E16+E17</f>
        <v>24000</v>
      </c>
      <c r="F15" s="403">
        <f t="shared" si="19"/>
        <v>850</v>
      </c>
      <c r="G15" s="403">
        <f t="shared" si="19"/>
        <v>350</v>
      </c>
      <c r="H15" s="403">
        <f t="shared" si="19"/>
        <v>17000</v>
      </c>
      <c r="I15" s="404">
        <f t="shared" si="5"/>
        <v>16299.028</v>
      </c>
      <c r="J15" s="73">
        <f>J16+J17</f>
        <v>0</v>
      </c>
      <c r="K15" s="73">
        <f t="shared" ref="K15:N15" si="20">K16+K17</f>
        <v>7790.7</v>
      </c>
      <c r="L15" s="73">
        <f t="shared" si="20"/>
        <v>3397.8560000000002</v>
      </c>
      <c r="M15" s="73">
        <f t="shared" si="20"/>
        <v>0</v>
      </c>
      <c r="N15" s="73">
        <f t="shared" si="20"/>
        <v>5110.4719999999998</v>
      </c>
      <c r="O15" s="176">
        <f t="shared" si="9"/>
        <v>38.623289099526062</v>
      </c>
      <c r="P15" s="404">
        <f t="shared" si="2"/>
        <v>3397.857</v>
      </c>
      <c r="Q15" s="73">
        <f>Q16+Q17</f>
        <v>0</v>
      </c>
      <c r="R15" s="73">
        <f t="shared" ref="R15:U15" si="21">R16+R17</f>
        <v>0</v>
      </c>
      <c r="S15" s="73">
        <f t="shared" si="21"/>
        <v>3397.857</v>
      </c>
      <c r="T15" s="73">
        <f t="shared" si="21"/>
        <v>0</v>
      </c>
      <c r="U15" s="73">
        <f t="shared" si="21"/>
        <v>0</v>
      </c>
    </row>
    <row r="16" spans="1:22" ht="36.75" customHeight="1" x14ac:dyDescent="0.25">
      <c r="A16" s="469"/>
      <c r="B16" s="7" t="s">
        <v>21</v>
      </c>
      <c r="C16" s="404">
        <f t="shared" si="8"/>
        <v>17000</v>
      </c>
      <c r="D16" s="403">
        <v>0</v>
      </c>
      <c r="E16" s="403">
        <v>0</v>
      </c>
      <c r="F16" s="403">
        <v>0</v>
      </c>
      <c r="G16" s="403">
        <v>0</v>
      </c>
      <c r="H16" s="403">
        <v>17000</v>
      </c>
      <c r="I16" s="404">
        <f t="shared" si="5"/>
        <v>5110.4719999999998</v>
      </c>
      <c r="J16" s="403">
        <v>0</v>
      </c>
      <c r="K16" s="403">
        <v>0</v>
      </c>
      <c r="L16" s="403">
        <v>0</v>
      </c>
      <c r="M16" s="403">
        <v>0</v>
      </c>
      <c r="N16" s="402">
        <v>5110.4719999999998</v>
      </c>
      <c r="O16" s="110">
        <f t="shared" si="9"/>
        <v>30.061599999999999</v>
      </c>
      <c r="P16" s="404">
        <f t="shared" si="2"/>
        <v>0</v>
      </c>
      <c r="Q16" s="403">
        <v>0</v>
      </c>
      <c r="R16" s="403">
        <v>0</v>
      </c>
      <c r="S16" s="403">
        <v>0</v>
      </c>
      <c r="T16" s="403">
        <v>0</v>
      </c>
      <c r="U16" s="403">
        <v>0</v>
      </c>
    </row>
    <row r="17" spans="1:23" ht="31.5" x14ac:dyDescent="0.25">
      <c r="A17" s="469"/>
      <c r="B17" s="7" t="s">
        <v>22</v>
      </c>
      <c r="C17" s="404">
        <f t="shared" si="8"/>
        <v>25200</v>
      </c>
      <c r="D17" s="403">
        <v>0</v>
      </c>
      <c r="E17" s="403">
        <v>24000</v>
      </c>
      <c r="F17" s="403">
        <v>850</v>
      </c>
      <c r="G17" s="403">
        <v>350</v>
      </c>
      <c r="H17" s="403">
        <v>0</v>
      </c>
      <c r="I17" s="404">
        <f t="shared" si="5"/>
        <v>11188.556</v>
      </c>
      <c r="J17" s="403">
        <v>0</v>
      </c>
      <c r="K17" s="403">
        <v>7790.7</v>
      </c>
      <c r="L17" s="402">
        <v>3397.8560000000002</v>
      </c>
      <c r="M17" s="403">
        <v>0</v>
      </c>
      <c r="N17" s="403">
        <v>0</v>
      </c>
      <c r="O17" s="110">
        <f t="shared" si="9"/>
        <v>44.399031746031746</v>
      </c>
      <c r="P17" s="404">
        <f t="shared" si="2"/>
        <v>3397.857</v>
      </c>
      <c r="Q17" s="403">
        <v>0</v>
      </c>
      <c r="R17" s="403">
        <v>0</v>
      </c>
      <c r="S17" s="402">
        <v>3397.857</v>
      </c>
      <c r="T17" s="403">
        <v>0</v>
      </c>
      <c r="U17" s="403">
        <v>0</v>
      </c>
    </row>
    <row r="18" spans="1:23" s="61" customFormat="1" x14ac:dyDescent="0.25">
      <c r="A18" s="83"/>
      <c r="B18" s="159" t="s">
        <v>23</v>
      </c>
      <c r="C18" s="404">
        <f t="shared" si="8"/>
        <v>49757.14</v>
      </c>
      <c r="D18" s="403">
        <f>D19</f>
        <v>5500</v>
      </c>
      <c r="E18" s="403">
        <f t="shared" ref="E18:H18" si="22">E19</f>
        <v>3500</v>
      </c>
      <c r="F18" s="403">
        <f t="shared" si="22"/>
        <v>2000</v>
      </c>
      <c r="G18" s="403">
        <f t="shared" si="22"/>
        <v>1900</v>
      </c>
      <c r="H18" s="403">
        <f t="shared" si="22"/>
        <v>36857.14</v>
      </c>
      <c r="I18" s="404">
        <f t="shared" si="5"/>
        <v>5836.8279199999997</v>
      </c>
      <c r="J18" s="73">
        <f>J19</f>
        <v>2793.8816900000002</v>
      </c>
      <c r="K18" s="73">
        <f t="shared" ref="K18:N18" si="23">K19</f>
        <v>242.94623000000001</v>
      </c>
      <c r="L18" s="45">
        <f t="shared" si="23"/>
        <v>1000</v>
      </c>
      <c r="M18" s="73">
        <f t="shared" si="23"/>
        <v>1800</v>
      </c>
      <c r="N18" s="73">
        <f t="shared" si="23"/>
        <v>0</v>
      </c>
      <c r="O18" s="176">
        <f t="shared" si="9"/>
        <v>11.730633874856956</v>
      </c>
      <c r="P18" s="404">
        <f t="shared" si="2"/>
        <v>16796.521919999999</v>
      </c>
      <c r="Q18" s="73">
        <f>Q19</f>
        <v>2793.8816900000002</v>
      </c>
      <c r="R18" s="73">
        <f t="shared" ref="R18:U18" si="24">R19</f>
        <v>242.94623000000001</v>
      </c>
      <c r="S18" s="73">
        <f t="shared" si="24"/>
        <v>996.56</v>
      </c>
      <c r="T18" s="73">
        <f t="shared" si="24"/>
        <v>1800</v>
      </c>
      <c r="U18" s="73">
        <f t="shared" si="24"/>
        <v>10963.134</v>
      </c>
    </row>
    <row r="19" spans="1:23" s="60" customFormat="1" ht="47.25" x14ac:dyDescent="0.25">
      <c r="A19" s="469"/>
      <c r="B19" s="98" t="s">
        <v>24</v>
      </c>
      <c r="C19" s="404">
        <f t="shared" si="8"/>
        <v>49757.14</v>
      </c>
      <c r="D19" s="403">
        <v>5500</v>
      </c>
      <c r="E19" s="403">
        <v>3500</v>
      </c>
      <c r="F19" s="403">
        <v>2000</v>
      </c>
      <c r="G19" s="403">
        <v>1900</v>
      </c>
      <c r="H19" s="403">
        <v>36857.14</v>
      </c>
      <c r="I19" s="404">
        <f t="shared" si="5"/>
        <v>5836.8279199999997</v>
      </c>
      <c r="J19" s="402">
        <v>2793.8816900000002</v>
      </c>
      <c r="K19" s="402">
        <v>242.94623000000001</v>
      </c>
      <c r="L19" s="402">
        <v>1000</v>
      </c>
      <c r="M19" s="402">
        <v>1800</v>
      </c>
      <c r="N19" s="403">
        <v>0</v>
      </c>
      <c r="O19" s="110">
        <f>(I19/C19)*100</f>
        <v>11.730633874856956</v>
      </c>
      <c r="P19" s="404">
        <f t="shared" si="2"/>
        <v>16796.521919999999</v>
      </c>
      <c r="Q19" s="402">
        <v>2793.8816900000002</v>
      </c>
      <c r="R19" s="402">
        <v>242.94623000000001</v>
      </c>
      <c r="S19" s="402">
        <v>996.56</v>
      </c>
      <c r="T19" s="402">
        <v>1800</v>
      </c>
      <c r="U19" s="402">
        <v>10963.134</v>
      </c>
      <c r="W19" s="62"/>
    </row>
    <row r="20" spans="1:23" s="61" customFormat="1" ht="24" customHeight="1" x14ac:dyDescent="0.25">
      <c r="A20" s="63"/>
      <c r="B20" s="159" t="s">
        <v>25</v>
      </c>
      <c r="C20" s="404">
        <f t="shared" si="8"/>
        <v>12002</v>
      </c>
      <c r="D20" s="403">
        <f>D21+D22+D23</f>
        <v>0</v>
      </c>
      <c r="E20" s="403">
        <f t="shared" ref="E20:G20" si="25">E21+E22+E23</f>
        <v>12000</v>
      </c>
      <c r="F20" s="403">
        <f t="shared" si="25"/>
        <v>0</v>
      </c>
      <c r="G20" s="403">
        <f t="shared" si="25"/>
        <v>0</v>
      </c>
      <c r="H20" s="403">
        <v>2</v>
      </c>
      <c r="I20" s="404">
        <f t="shared" si="5"/>
        <v>0</v>
      </c>
      <c r="J20" s="403">
        <f>J21+J22+J23</f>
        <v>0</v>
      </c>
      <c r="K20" s="403">
        <f t="shared" ref="K20:N20" si="26">K21+K22+K23</f>
        <v>0</v>
      </c>
      <c r="L20" s="403">
        <f t="shared" si="26"/>
        <v>0</v>
      </c>
      <c r="M20" s="403">
        <f t="shared" si="26"/>
        <v>0</v>
      </c>
      <c r="N20" s="403">
        <f t="shared" si="26"/>
        <v>0</v>
      </c>
      <c r="O20" s="110">
        <f t="shared" si="9"/>
        <v>0</v>
      </c>
      <c r="P20" s="404">
        <f t="shared" si="2"/>
        <v>0</v>
      </c>
      <c r="Q20" s="403">
        <f>Q21+Q22+Q23</f>
        <v>0</v>
      </c>
      <c r="R20" s="403">
        <f t="shared" ref="R20:U20" si="27">R21+R22+R23</f>
        <v>0</v>
      </c>
      <c r="S20" s="403">
        <f t="shared" si="27"/>
        <v>0</v>
      </c>
      <c r="T20" s="403">
        <f t="shared" si="27"/>
        <v>0</v>
      </c>
      <c r="U20" s="403">
        <f t="shared" si="27"/>
        <v>0</v>
      </c>
    </row>
    <row r="21" spans="1:23" ht="57" customHeight="1" x14ac:dyDescent="0.25">
      <c r="A21" s="469"/>
      <c r="B21" s="7" t="s">
        <v>26</v>
      </c>
      <c r="C21" s="404">
        <f t="shared" si="8"/>
        <v>0</v>
      </c>
      <c r="D21" s="403">
        <v>0</v>
      </c>
      <c r="E21" s="403">
        <v>0</v>
      </c>
      <c r="F21" s="403">
        <v>0</v>
      </c>
      <c r="G21" s="403">
        <v>0</v>
      </c>
      <c r="H21" s="403">
        <v>0</v>
      </c>
      <c r="I21" s="404">
        <f t="shared" si="5"/>
        <v>0</v>
      </c>
      <c r="J21" s="403">
        <v>0</v>
      </c>
      <c r="K21" s="403">
        <v>0</v>
      </c>
      <c r="L21" s="403">
        <v>0</v>
      </c>
      <c r="M21" s="403">
        <v>0</v>
      </c>
      <c r="N21" s="403">
        <v>0</v>
      </c>
      <c r="O21" s="110" t="e">
        <f t="shared" si="9"/>
        <v>#DIV/0!</v>
      </c>
      <c r="P21" s="404">
        <f t="shared" si="2"/>
        <v>0</v>
      </c>
      <c r="Q21" s="403">
        <v>0</v>
      </c>
      <c r="R21" s="403">
        <v>0</v>
      </c>
      <c r="S21" s="403">
        <v>0</v>
      </c>
      <c r="T21" s="403">
        <v>0</v>
      </c>
      <c r="U21" s="403">
        <v>0</v>
      </c>
    </row>
    <row r="22" spans="1:23" ht="31.5" x14ac:dyDescent="0.25">
      <c r="A22" s="469"/>
      <c r="B22" s="7" t="s">
        <v>27</v>
      </c>
      <c r="C22" s="404">
        <f t="shared" si="8"/>
        <v>0</v>
      </c>
      <c r="D22" s="403">
        <v>0</v>
      </c>
      <c r="E22" s="403">
        <v>0</v>
      </c>
      <c r="F22" s="403"/>
      <c r="G22" s="403">
        <v>0</v>
      </c>
      <c r="H22" s="403">
        <v>0</v>
      </c>
      <c r="I22" s="404">
        <f t="shared" si="5"/>
        <v>0</v>
      </c>
      <c r="J22" s="403">
        <v>0</v>
      </c>
      <c r="K22" s="403">
        <v>0</v>
      </c>
      <c r="L22" s="403">
        <v>0</v>
      </c>
      <c r="M22" s="403">
        <v>0</v>
      </c>
      <c r="N22" s="403">
        <v>0</v>
      </c>
      <c r="O22" s="110" t="e">
        <f t="shared" si="9"/>
        <v>#DIV/0!</v>
      </c>
      <c r="P22" s="404">
        <f t="shared" si="2"/>
        <v>0</v>
      </c>
      <c r="Q22" s="403">
        <v>0</v>
      </c>
      <c r="R22" s="403">
        <v>0</v>
      </c>
      <c r="S22" s="403">
        <v>0</v>
      </c>
      <c r="T22" s="403">
        <v>0</v>
      </c>
      <c r="U22" s="403">
        <v>0</v>
      </c>
    </row>
    <row r="23" spans="1:23" s="60" customFormat="1" ht="31.5" x14ac:dyDescent="0.25">
      <c r="A23" s="469"/>
      <c r="B23" s="98" t="s">
        <v>28</v>
      </c>
      <c r="C23" s="404">
        <f t="shared" si="8"/>
        <v>12000</v>
      </c>
      <c r="D23" s="403">
        <v>0</v>
      </c>
      <c r="E23" s="403">
        <v>12000</v>
      </c>
      <c r="F23" s="403">
        <v>0</v>
      </c>
      <c r="G23" s="403">
        <v>0</v>
      </c>
      <c r="H23" s="403">
        <v>0</v>
      </c>
      <c r="I23" s="404">
        <f t="shared" si="5"/>
        <v>0</v>
      </c>
      <c r="J23" s="403">
        <v>0</v>
      </c>
      <c r="K23" s="403">
        <v>0</v>
      </c>
      <c r="L23" s="403">
        <v>0</v>
      </c>
      <c r="M23" s="403">
        <v>0</v>
      </c>
      <c r="N23" s="403">
        <v>0</v>
      </c>
      <c r="O23" s="110">
        <f t="shared" si="9"/>
        <v>0</v>
      </c>
      <c r="P23" s="404">
        <f t="shared" si="2"/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</row>
    <row r="24" spans="1:23" s="61" customFormat="1" x14ac:dyDescent="0.25">
      <c r="A24" s="63"/>
      <c r="B24" s="159" t="s">
        <v>29</v>
      </c>
      <c r="C24" s="404">
        <f t="shared" si="8"/>
        <v>0</v>
      </c>
      <c r="D24" s="403">
        <f>D25</f>
        <v>0</v>
      </c>
      <c r="E24" s="403">
        <f t="shared" ref="E24:H24" si="28">E25</f>
        <v>0</v>
      </c>
      <c r="F24" s="403">
        <f t="shared" si="28"/>
        <v>0</v>
      </c>
      <c r="G24" s="403">
        <f t="shared" si="28"/>
        <v>0</v>
      </c>
      <c r="H24" s="403">
        <f t="shared" si="28"/>
        <v>0</v>
      </c>
      <c r="I24" s="404">
        <f t="shared" si="5"/>
        <v>0</v>
      </c>
      <c r="J24" s="403">
        <f>J25</f>
        <v>0</v>
      </c>
      <c r="K24" s="403">
        <f t="shared" ref="K24:N24" si="29">K25</f>
        <v>0</v>
      </c>
      <c r="L24" s="403">
        <f t="shared" si="29"/>
        <v>0</v>
      </c>
      <c r="M24" s="403">
        <f t="shared" si="29"/>
        <v>0</v>
      </c>
      <c r="N24" s="403">
        <f t="shared" si="29"/>
        <v>0</v>
      </c>
      <c r="O24" s="110" t="e">
        <f t="shared" si="9"/>
        <v>#DIV/0!</v>
      </c>
      <c r="P24" s="404">
        <f t="shared" si="2"/>
        <v>0</v>
      </c>
      <c r="Q24" s="403">
        <f>Q25</f>
        <v>0</v>
      </c>
      <c r="R24" s="403">
        <f t="shared" ref="R24:U24" si="30">R25</f>
        <v>0</v>
      </c>
      <c r="S24" s="403">
        <f t="shared" si="30"/>
        <v>0</v>
      </c>
      <c r="T24" s="403">
        <f t="shared" si="30"/>
        <v>0</v>
      </c>
      <c r="U24" s="403">
        <f t="shared" si="30"/>
        <v>0</v>
      </c>
    </row>
    <row r="25" spans="1:23" x14ac:dyDescent="0.25">
      <c r="A25" s="469"/>
      <c r="B25" s="7" t="s">
        <v>30</v>
      </c>
      <c r="C25" s="404">
        <f t="shared" si="8"/>
        <v>0</v>
      </c>
      <c r="D25" s="403">
        <v>0</v>
      </c>
      <c r="E25" s="403">
        <v>0</v>
      </c>
      <c r="F25" s="403">
        <v>0</v>
      </c>
      <c r="G25" s="403">
        <v>0</v>
      </c>
      <c r="H25" s="403">
        <v>0</v>
      </c>
      <c r="I25" s="404">
        <f t="shared" si="5"/>
        <v>0</v>
      </c>
      <c r="J25" s="403">
        <v>0</v>
      </c>
      <c r="K25" s="403">
        <v>0</v>
      </c>
      <c r="L25" s="403">
        <v>0</v>
      </c>
      <c r="M25" s="403">
        <v>0</v>
      </c>
      <c r="N25" s="403">
        <v>0</v>
      </c>
      <c r="O25" s="110" t="e">
        <f t="shared" si="9"/>
        <v>#DIV/0!</v>
      </c>
      <c r="P25" s="404">
        <f t="shared" si="2"/>
        <v>0</v>
      </c>
      <c r="Q25" s="403">
        <v>0</v>
      </c>
      <c r="R25" s="403">
        <v>0</v>
      </c>
      <c r="S25" s="403">
        <v>0</v>
      </c>
      <c r="T25" s="403">
        <v>0</v>
      </c>
      <c r="U25" s="403">
        <v>0</v>
      </c>
    </row>
    <row r="26" spans="1:23" s="61" customFormat="1" x14ac:dyDescent="0.25">
      <c r="A26" s="63"/>
      <c r="B26" s="159" t="s">
        <v>31</v>
      </c>
      <c r="C26" s="404">
        <f t="shared" si="8"/>
        <v>0</v>
      </c>
      <c r="D26" s="403">
        <f>D27</f>
        <v>0</v>
      </c>
      <c r="E26" s="403">
        <f t="shared" ref="E26:H26" si="31">E27</f>
        <v>0</v>
      </c>
      <c r="F26" s="403">
        <f t="shared" si="31"/>
        <v>0</v>
      </c>
      <c r="G26" s="403">
        <f t="shared" si="31"/>
        <v>0</v>
      </c>
      <c r="H26" s="403">
        <f t="shared" si="31"/>
        <v>0</v>
      </c>
      <c r="I26" s="404">
        <f t="shared" si="5"/>
        <v>0</v>
      </c>
      <c r="J26" s="403">
        <f>J27</f>
        <v>0</v>
      </c>
      <c r="K26" s="403">
        <f t="shared" ref="K26:N26" si="32">K27</f>
        <v>0</v>
      </c>
      <c r="L26" s="403">
        <f t="shared" si="32"/>
        <v>0</v>
      </c>
      <c r="M26" s="403">
        <f t="shared" si="32"/>
        <v>0</v>
      </c>
      <c r="N26" s="403">
        <f t="shared" si="32"/>
        <v>0</v>
      </c>
      <c r="O26" s="110" t="e">
        <f t="shared" si="9"/>
        <v>#DIV/0!</v>
      </c>
      <c r="P26" s="404">
        <f t="shared" si="2"/>
        <v>0</v>
      </c>
      <c r="Q26" s="403">
        <f>Q27</f>
        <v>0</v>
      </c>
      <c r="R26" s="403">
        <f t="shared" ref="R26:U26" si="33">R27</f>
        <v>0</v>
      </c>
      <c r="S26" s="403">
        <f t="shared" si="33"/>
        <v>0</v>
      </c>
      <c r="T26" s="403">
        <f t="shared" si="33"/>
        <v>0</v>
      </c>
      <c r="U26" s="403">
        <f t="shared" si="33"/>
        <v>0</v>
      </c>
    </row>
    <row r="27" spans="1:23" ht="31.5" x14ac:dyDescent="0.25">
      <c r="A27" s="469"/>
      <c r="B27" s="7" t="s">
        <v>32</v>
      </c>
      <c r="C27" s="404">
        <f t="shared" si="8"/>
        <v>0</v>
      </c>
      <c r="D27" s="403">
        <v>0</v>
      </c>
      <c r="E27" s="403">
        <v>0</v>
      </c>
      <c r="F27" s="403">
        <v>0</v>
      </c>
      <c r="G27" s="403">
        <v>0</v>
      </c>
      <c r="H27" s="403">
        <v>0</v>
      </c>
      <c r="I27" s="404">
        <f t="shared" si="5"/>
        <v>0</v>
      </c>
      <c r="J27" s="403">
        <v>0</v>
      </c>
      <c r="K27" s="403">
        <v>0</v>
      </c>
      <c r="L27" s="403">
        <v>0</v>
      </c>
      <c r="M27" s="403">
        <v>0</v>
      </c>
      <c r="N27" s="403">
        <v>0</v>
      </c>
      <c r="O27" s="110" t="e">
        <f t="shared" si="9"/>
        <v>#DIV/0!</v>
      </c>
      <c r="P27" s="404">
        <f t="shared" si="2"/>
        <v>0</v>
      </c>
      <c r="Q27" s="403">
        <v>0</v>
      </c>
      <c r="R27" s="403">
        <v>0</v>
      </c>
      <c r="S27" s="403">
        <v>0</v>
      </c>
      <c r="T27" s="403">
        <v>0</v>
      </c>
      <c r="U27" s="403">
        <v>0</v>
      </c>
    </row>
    <row r="28" spans="1:23" s="61" customFormat="1" x14ac:dyDescent="0.25">
      <c r="A28" s="63"/>
      <c r="B28" s="159" t="s">
        <v>33</v>
      </c>
      <c r="C28" s="404">
        <f t="shared" si="8"/>
        <v>0</v>
      </c>
      <c r="D28" s="403">
        <f>D29</f>
        <v>0</v>
      </c>
      <c r="E28" s="403">
        <f t="shared" ref="E28:H28" si="34">E29</f>
        <v>0</v>
      </c>
      <c r="F28" s="403">
        <f t="shared" si="34"/>
        <v>0</v>
      </c>
      <c r="G28" s="403">
        <f t="shared" si="34"/>
        <v>0</v>
      </c>
      <c r="H28" s="403">
        <f t="shared" si="34"/>
        <v>0</v>
      </c>
      <c r="I28" s="404">
        <f t="shared" si="5"/>
        <v>0</v>
      </c>
      <c r="J28" s="403">
        <f>J29</f>
        <v>0</v>
      </c>
      <c r="K28" s="403">
        <f t="shared" ref="K28:N28" si="35">K29</f>
        <v>0</v>
      </c>
      <c r="L28" s="403">
        <f t="shared" si="35"/>
        <v>0</v>
      </c>
      <c r="M28" s="403">
        <f t="shared" si="35"/>
        <v>0</v>
      </c>
      <c r="N28" s="403">
        <f t="shared" si="35"/>
        <v>0</v>
      </c>
      <c r="O28" s="110" t="e">
        <f t="shared" si="9"/>
        <v>#DIV/0!</v>
      </c>
      <c r="P28" s="404">
        <f t="shared" si="2"/>
        <v>0</v>
      </c>
      <c r="Q28" s="403">
        <f>Q29</f>
        <v>0</v>
      </c>
      <c r="R28" s="403">
        <f t="shared" ref="R28:U28" si="36">R29</f>
        <v>0</v>
      </c>
      <c r="S28" s="403">
        <f t="shared" si="36"/>
        <v>0</v>
      </c>
      <c r="T28" s="403">
        <f t="shared" si="36"/>
        <v>0</v>
      </c>
      <c r="U28" s="403">
        <f t="shared" si="36"/>
        <v>0</v>
      </c>
    </row>
    <row r="29" spans="1:23" ht="31.5" x14ac:dyDescent="0.25">
      <c r="A29" s="469"/>
      <c r="B29" s="7" t="s">
        <v>34</v>
      </c>
      <c r="C29" s="404">
        <f t="shared" si="8"/>
        <v>0</v>
      </c>
      <c r="D29" s="403">
        <v>0</v>
      </c>
      <c r="E29" s="403">
        <v>0</v>
      </c>
      <c r="F29" s="403">
        <v>0</v>
      </c>
      <c r="G29" s="403">
        <v>0</v>
      </c>
      <c r="H29" s="403">
        <v>0</v>
      </c>
      <c r="I29" s="404">
        <f t="shared" si="5"/>
        <v>0</v>
      </c>
      <c r="J29" s="403">
        <v>0</v>
      </c>
      <c r="K29" s="403">
        <v>0</v>
      </c>
      <c r="L29" s="403">
        <v>0</v>
      </c>
      <c r="M29" s="403">
        <v>0</v>
      </c>
      <c r="N29" s="403">
        <v>0</v>
      </c>
      <c r="O29" s="110" t="e">
        <f t="shared" si="9"/>
        <v>#DIV/0!</v>
      </c>
      <c r="P29" s="404">
        <f t="shared" si="2"/>
        <v>0</v>
      </c>
      <c r="Q29" s="403">
        <v>0</v>
      </c>
      <c r="R29" s="403">
        <v>0</v>
      </c>
      <c r="S29" s="403">
        <v>0</v>
      </c>
      <c r="T29" s="403">
        <v>0</v>
      </c>
      <c r="U29" s="403">
        <v>0</v>
      </c>
    </row>
    <row r="30" spans="1:23" ht="15" customHeight="1" x14ac:dyDescent="0.25">
      <c r="A30" s="52">
        <v>2</v>
      </c>
      <c r="B30" s="99" t="s">
        <v>35</v>
      </c>
      <c r="C30" s="404">
        <f>SUM(C31:C33)</f>
        <v>40025</v>
      </c>
      <c r="D30" s="404">
        <f t="shared" ref="D30:T30" si="37">SUM(D31:D33)</f>
        <v>0</v>
      </c>
      <c r="E30" s="427">
        <v>25500</v>
      </c>
      <c r="F30" s="427">
        <v>14525</v>
      </c>
      <c r="G30" s="404">
        <f t="shared" si="37"/>
        <v>0</v>
      </c>
      <c r="H30" s="404">
        <f t="shared" si="37"/>
        <v>0</v>
      </c>
      <c r="I30" s="404">
        <f t="shared" si="5"/>
        <v>31515.767910000002</v>
      </c>
      <c r="J30" s="404">
        <f t="shared" si="37"/>
        <v>0</v>
      </c>
      <c r="K30" s="404">
        <f t="shared" si="37"/>
        <v>20000</v>
      </c>
      <c r="L30" s="404">
        <f t="shared" si="37"/>
        <v>11515.76791</v>
      </c>
      <c r="M30" s="404">
        <f t="shared" si="37"/>
        <v>0</v>
      </c>
      <c r="N30" s="404">
        <f t="shared" si="37"/>
        <v>0</v>
      </c>
      <c r="O30" s="404">
        <f t="shared" si="37"/>
        <v>62381.432519999995</v>
      </c>
      <c r="P30" s="404">
        <f t="shared" si="2"/>
        <v>31190.716260000001</v>
      </c>
      <c r="Q30" s="404">
        <f t="shared" si="37"/>
        <v>0</v>
      </c>
      <c r="R30" s="404">
        <f t="shared" si="37"/>
        <v>20000</v>
      </c>
      <c r="S30" s="416">
        <f t="shared" si="37"/>
        <v>11190.716260000001</v>
      </c>
      <c r="T30" s="404">
        <f t="shared" si="37"/>
        <v>0</v>
      </c>
      <c r="U30" s="111">
        <v>0</v>
      </c>
      <c r="V30" s="174"/>
    </row>
    <row r="31" spans="1:23" ht="31.5" x14ac:dyDescent="0.25">
      <c r="A31" s="63"/>
      <c r="B31" s="64" t="s">
        <v>36</v>
      </c>
      <c r="C31" s="404">
        <f>SUM(D31:H31)</f>
        <v>3600</v>
      </c>
      <c r="D31" s="30">
        <v>0</v>
      </c>
      <c r="E31" s="428">
        <v>0</v>
      </c>
      <c r="F31" s="428">
        <v>3600</v>
      </c>
      <c r="G31" s="30">
        <v>0</v>
      </c>
      <c r="H31" s="30">
        <v>0</v>
      </c>
      <c r="I31" s="404">
        <f t="shared" si="5"/>
        <v>3983.1479100000001</v>
      </c>
      <c r="J31" s="30">
        <v>0</v>
      </c>
      <c r="K31" s="30">
        <v>0</v>
      </c>
      <c r="L31" s="30">
        <v>3983.1479100000001</v>
      </c>
      <c r="M31" s="30">
        <v>0</v>
      </c>
      <c r="N31" s="30">
        <v>0</v>
      </c>
      <c r="O31" s="84">
        <f>SUM(P31:T31)</f>
        <v>7732.1633400000001</v>
      </c>
      <c r="P31" s="404">
        <f t="shared" si="2"/>
        <v>3866.08167</v>
      </c>
      <c r="Q31" s="30">
        <v>0</v>
      </c>
      <c r="R31" s="155">
        <v>0</v>
      </c>
      <c r="S31" s="471">
        <v>3866.08167</v>
      </c>
      <c r="T31" s="30">
        <v>0</v>
      </c>
      <c r="U31" s="402">
        <v>0</v>
      </c>
    </row>
    <row r="32" spans="1:23" ht="20.25" customHeight="1" x14ac:dyDescent="0.25">
      <c r="A32" s="63"/>
      <c r="B32" s="64" t="s">
        <v>37</v>
      </c>
      <c r="C32" s="404">
        <f t="shared" ref="C32:C88" si="38">SUM(D32:H32)</f>
        <v>10425</v>
      </c>
      <c r="D32" s="402">
        <v>0</v>
      </c>
      <c r="E32" s="306">
        <v>8500</v>
      </c>
      <c r="F32" s="428">
        <v>1925</v>
      </c>
      <c r="G32" s="30">
        <v>0</v>
      </c>
      <c r="H32" s="30">
        <v>0</v>
      </c>
      <c r="I32" s="404">
        <f t="shared" si="5"/>
        <v>1215.53</v>
      </c>
      <c r="J32" s="402">
        <v>0</v>
      </c>
      <c r="K32" s="402">
        <v>0</v>
      </c>
      <c r="L32" s="155">
        <v>1215.53</v>
      </c>
      <c r="M32" s="30">
        <v>0</v>
      </c>
      <c r="N32" s="30">
        <v>0</v>
      </c>
      <c r="O32" s="84">
        <f t="shared" ref="O32:O33" si="39">SUM(P32:T32)</f>
        <v>2015.0990999999999</v>
      </c>
      <c r="P32" s="404">
        <f t="shared" si="2"/>
        <v>1007.54955</v>
      </c>
      <c r="Q32" s="402">
        <v>0</v>
      </c>
      <c r="R32" s="403">
        <v>0</v>
      </c>
      <c r="S32" s="471">
        <v>1007.54955</v>
      </c>
      <c r="T32" s="30">
        <v>0</v>
      </c>
      <c r="U32" s="402">
        <v>0</v>
      </c>
    </row>
    <row r="33" spans="1:22" ht="23.25" customHeight="1" x14ac:dyDescent="0.25">
      <c r="A33" s="63"/>
      <c r="B33" s="64" t="s">
        <v>38</v>
      </c>
      <c r="C33" s="404">
        <f>SUM(D33:H33)</f>
        <v>26000</v>
      </c>
      <c r="D33" s="402">
        <v>0</v>
      </c>
      <c r="E33" s="428">
        <v>17000</v>
      </c>
      <c r="F33" s="428">
        <v>9000</v>
      </c>
      <c r="G33" s="30">
        <v>0</v>
      </c>
      <c r="H33" s="30">
        <v>0</v>
      </c>
      <c r="I33" s="404">
        <f t="shared" si="5"/>
        <v>26317.09</v>
      </c>
      <c r="J33" s="402">
        <v>0</v>
      </c>
      <c r="K33" s="30">
        <v>20000</v>
      </c>
      <c r="L33" s="155">
        <v>6317.09</v>
      </c>
      <c r="M33" s="30">
        <v>0</v>
      </c>
      <c r="N33" s="30">
        <v>0</v>
      </c>
      <c r="O33" s="84">
        <f t="shared" si="39"/>
        <v>52634.170079999996</v>
      </c>
      <c r="P33" s="404">
        <f t="shared" si="2"/>
        <v>26317.085039999998</v>
      </c>
      <c r="Q33" s="30">
        <v>0</v>
      </c>
      <c r="R33" s="30">
        <v>20000</v>
      </c>
      <c r="S33" s="471">
        <v>6317.0850399999999</v>
      </c>
      <c r="T33" s="30">
        <v>0</v>
      </c>
      <c r="U33" s="402">
        <v>0</v>
      </c>
    </row>
    <row r="34" spans="1:22" ht="18" customHeight="1" x14ac:dyDescent="0.25">
      <c r="A34" s="52">
        <v>3</v>
      </c>
      <c r="B34" s="24" t="s">
        <v>39</v>
      </c>
      <c r="C34" s="404">
        <f>SUM(D34:H34)</f>
        <v>1420</v>
      </c>
      <c r="D34" s="404">
        <v>0</v>
      </c>
      <c r="E34" s="404">
        <v>0</v>
      </c>
      <c r="F34" s="20">
        <f>SUM(F38+F44+F47+F49)+F35</f>
        <v>100</v>
      </c>
      <c r="G34" s="404">
        <v>0</v>
      </c>
      <c r="H34" s="20">
        <f>SUM(H38+H44+H47+H49)+H35</f>
        <v>1320</v>
      </c>
      <c r="I34" s="404">
        <f t="shared" si="5"/>
        <v>9283.7999999999993</v>
      </c>
      <c r="J34" s="404">
        <v>0</v>
      </c>
      <c r="K34" s="404">
        <v>0</v>
      </c>
      <c r="L34" s="145">
        <f>SUM(L38+L44+L47+L49)</f>
        <v>75</v>
      </c>
      <c r="M34" s="145">
        <f>SUM(M38+M44+M47+M49)</f>
        <v>0</v>
      </c>
      <c r="N34" s="145">
        <f>SUM(N38+N44+N47+N49)</f>
        <v>9208.7999999999993</v>
      </c>
      <c r="O34" s="404" t="e">
        <f>SUM(O38+O44+#REF!)</f>
        <v>#REF!</v>
      </c>
      <c r="P34" s="404">
        <f t="shared" si="2"/>
        <v>9283.7999999999993</v>
      </c>
      <c r="Q34" s="404">
        <v>0</v>
      </c>
      <c r="R34" s="404">
        <v>0</v>
      </c>
      <c r="S34" s="145">
        <f>SUM(S38+S44+S47+S49)</f>
        <v>75</v>
      </c>
      <c r="T34" s="145">
        <f>SUM(T38+T44+T47+T49)</f>
        <v>0</v>
      </c>
      <c r="U34" s="145">
        <f>SUM(U38+U44+U47+U49)</f>
        <v>9208.7999999999993</v>
      </c>
      <c r="V34" s="174"/>
    </row>
    <row r="35" spans="1:22" ht="31.5" x14ac:dyDescent="0.25">
      <c r="A35" s="90"/>
      <c r="B35" s="65" t="s">
        <v>40</v>
      </c>
      <c r="C35" s="404">
        <f t="shared" si="38"/>
        <v>125</v>
      </c>
      <c r="D35" s="161">
        <v>0</v>
      </c>
      <c r="E35" s="161">
        <v>0</v>
      </c>
      <c r="F35" s="19">
        <f>SUM(F36:F37)</f>
        <v>25</v>
      </c>
      <c r="G35" s="161">
        <v>0</v>
      </c>
      <c r="H35" s="19">
        <f>SUM(H36:H37)</f>
        <v>100</v>
      </c>
      <c r="I35" s="404">
        <f t="shared" si="5"/>
        <v>0</v>
      </c>
      <c r="J35" s="402">
        <v>0</v>
      </c>
      <c r="K35" s="402">
        <v>0</v>
      </c>
      <c r="L35" s="402">
        <v>0</v>
      </c>
      <c r="M35" s="402">
        <v>0</v>
      </c>
      <c r="N35" s="402">
        <v>0</v>
      </c>
      <c r="O35" s="404"/>
      <c r="P35" s="404">
        <f t="shared" si="2"/>
        <v>0</v>
      </c>
      <c r="Q35" s="402">
        <v>0</v>
      </c>
      <c r="R35" s="402">
        <v>0</v>
      </c>
      <c r="S35" s="402">
        <v>0</v>
      </c>
      <c r="T35" s="402">
        <v>0</v>
      </c>
      <c r="U35" s="402">
        <v>0</v>
      </c>
    </row>
    <row r="36" spans="1:22" ht="83.25" customHeight="1" x14ac:dyDescent="0.25">
      <c r="A36" s="469"/>
      <c r="B36" s="33" t="s">
        <v>41</v>
      </c>
      <c r="C36" s="404">
        <f t="shared" si="38"/>
        <v>25</v>
      </c>
      <c r="D36" s="161">
        <v>0</v>
      </c>
      <c r="E36" s="161">
        <v>0</v>
      </c>
      <c r="F36" s="19">
        <v>25</v>
      </c>
      <c r="G36" s="161">
        <v>0</v>
      </c>
      <c r="H36" s="161">
        <v>0</v>
      </c>
      <c r="I36" s="404">
        <f t="shared" si="5"/>
        <v>0</v>
      </c>
      <c r="J36" s="402">
        <v>0</v>
      </c>
      <c r="K36" s="402">
        <v>0</v>
      </c>
      <c r="L36" s="402">
        <v>0</v>
      </c>
      <c r="M36" s="402">
        <v>0</v>
      </c>
      <c r="N36" s="402">
        <v>0</v>
      </c>
      <c r="O36" s="404"/>
      <c r="P36" s="404">
        <f t="shared" si="2"/>
        <v>0</v>
      </c>
      <c r="Q36" s="402">
        <v>0</v>
      </c>
      <c r="R36" s="402">
        <v>0</v>
      </c>
      <c r="S36" s="402">
        <v>0</v>
      </c>
      <c r="T36" s="402">
        <v>0</v>
      </c>
      <c r="U36" s="402">
        <v>0</v>
      </c>
    </row>
    <row r="37" spans="1:22" ht="33" customHeight="1" x14ac:dyDescent="0.25">
      <c r="A37" s="469"/>
      <c r="B37" s="1" t="s">
        <v>42</v>
      </c>
      <c r="C37" s="404">
        <f t="shared" si="38"/>
        <v>100</v>
      </c>
      <c r="D37" s="161">
        <v>0</v>
      </c>
      <c r="E37" s="161">
        <v>0</v>
      </c>
      <c r="F37" s="161">
        <v>0</v>
      </c>
      <c r="G37" s="161">
        <v>0</v>
      </c>
      <c r="H37" s="68">
        <v>100</v>
      </c>
      <c r="I37" s="404">
        <f t="shared" si="5"/>
        <v>0</v>
      </c>
      <c r="J37" s="402">
        <v>0</v>
      </c>
      <c r="K37" s="402">
        <v>0</v>
      </c>
      <c r="L37" s="402">
        <v>0</v>
      </c>
      <c r="M37" s="402">
        <v>0</v>
      </c>
      <c r="N37" s="402">
        <v>0</v>
      </c>
      <c r="O37" s="404"/>
      <c r="P37" s="404">
        <f t="shared" si="2"/>
        <v>0</v>
      </c>
      <c r="Q37" s="402">
        <v>0</v>
      </c>
      <c r="R37" s="402">
        <v>0</v>
      </c>
      <c r="S37" s="402">
        <v>0</v>
      </c>
      <c r="T37" s="402">
        <v>0</v>
      </c>
      <c r="U37" s="402">
        <v>0</v>
      </c>
    </row>
    <row r="38" spans="1:22" ht="19.5" customHeight="1" x14ac:dyDescent="0.25">
      <c r="A38" s="90"/>
      <c r="B38" s="2" t="s">
        <v>43</v>
      </c>
      <c r="C38" s="404">
        <f t="shared" si="38"/>
        <v>120</v>
      </c>
      <c r="D38" s="161">
        <v>0</v>
      </c>
      <c r="E38" s="161">
        <v>0</v>
      </c>
      <c r="F38" s="112">
        <f>SUM(F39:F42)</f>
        <v>50</v>
      </c>
      <c r="G38" s="171">
        <f>SUM(G39:G40)</f>
        <v>0</v>
      </c>
      <c r="H38" s="112">
        <f>SUM(H39:H42)</f>
        <v>70</v>
      </c>
      <c r="I38" s="404">
        <f t="shared" si="5"/>
        <v>543.29999999999995</v>
      </c>
      <c r="J38" s="402">
        <v>0</v>
      </c>
      <c r="K38" s="402">
        <v>0</v>
      </c>
      <c r="L38" s="21">
        <f>SUM(L39:L42)</f>
        <v>25</v>
      </c>
      <c r="M38" s="402">
        <v>0</v>
      </c>
      <c r="N38" s="402">
        <f>SUM(N39:N43)</f>
        <v>518.29999999999995</v>
      </c>
      <c r="O38" s="171">
        <f t="shared" ref="O38:R38" si="40">SUM(O39:O40)</f>
        <v>0</v>
      </c>
      <c r="P38" s="404">
        <f t="shared" si="2"/>
        <v>543.29999999999995</v>
      </c>
      <c r="Q38" s="171">
        <f t="shared" si="40"/>
        <v>0</v>
      </c>
      <c r="R38" s="171">
        <f t="shared" si="40"/>
        <v>0</v>
      </c>
      <c r="S38" s="21">
        <f>SUM(S39:S42)</f>
        <v>25</v>
      </c>
      <c r="T38" s="402">
        <v>0</v>
      </c>
      <c r="U38" s="402">
        <f>SUM(U39:U43)</f>
        <v>518.29999999999995</v>
      </c>
    </row>
    <row r="39" spans="1:22" ht="46.5" customHeight="1" x14ac:dyDescent="0.25">
      <c r="A39" s="469"/>
      <c r="B39" s="3" t="s">
        <v>44</v>
      </c>
      <c r="C39" s="404">
        <f t="shared" si="38"/>
        <v>20</v>
      </c>
      <c r="D39" s="161">
        <v>0</v>
      </c>
      <c r="E39" s="161">
        <v>0</v>
      </c>
      <c r="F39" s="144">
        <v>20</v>
      </c>
      <c r="G39" s="161">
        <v>0</v>
      </c>
      <c r="H39" s="161">
        <v>0</v>
      </c>
      <c r="I39" s="404">
        <f t="shared" si="5"/>
        <v>380.1</v>
      </c>
      <c r="J39" s="402">
        <v>0</v>
      </c>
      <c r="K39" s="402">
        <v>0</v>
      </c>
      <c r="L39" s="402">
        <v>20</v>
      </c>
      <c r="M39" s="402">
        <v>0</v>
      </c>
      <c r="N39" s="402">
        <v>360.1</v>
      </c>
      <c r="O39" s="171"/>
      <c r="P39" s="404">
        <f t="shared" si="2"/>
        <v>380.1</v>
      </c>
      <c r="Q39" s="402">
        <v>0</v>
      </c>
      <c r="R39" s="402">
        <v>0</v>
      </c>
      <c r="S39" s="402">
        <v>20</v>
      </c>
      <c r="T39" s="402">
        <v>0</v>
      </c>
      <c r="U39" s="402">
        <v>360.1</v>
      </c>
    </row>
    <row r="40" spans="1:22" ht="31.5" x14ac:dyDescent="0.25">
      <c r="A40" s="469"/>
      <c r="B40" s="4" t="s">
        <v>45</v>
      </c>
      <c r="C40" s="404">
        <f t="shared" si="38"/>
        <v>0</v>
      </c>
      <c r="D40" s="161">
        <v>0</v>
      </c>
      <c r="E40" s="161">
        <v>0</v>
      </c>
      <c r="F40" s="144"/>
      <c r="G40" s="161">
        <v>0</v>
      </c>
      <c r="H40" s="161">
        <v>0</v>
      </c>
      <c r="I40" s="404">
        <f t="shared" si="5"/>
        <v>5</v>
      </c>
      <c r="J40" s="402">
        <v>0</v>
      </c>
      <c r="K40" s="402">
        <v>0</v>
      </c>
      <c r="L40" s="402">
        <v>5</v>
      </c>
      <c r="M40" s="402">
        <v>0</v>
      </c>
      <c r="N40" s="402">
        <v>0</v>
      </c>
      <c r="O40" s="171"/>
      <c r="P40" s="404">
        <f t="shared" si="2"/>
        <v>5</v>
      </c>
      <c r="Q40" s="402">
        <v>0</v>
      </c>
      <c r="R40" s="402">
        <v>0</v>
      </c>
      <c r="S40" s="402">
        <v>5</v>
      </c>
      <c r="T40" s="402">
        <v>0</v>
      </c>
      <c r="U40" s="402">
        <v>0</v>
      </c>
    </row>
    <row r="41" spans="1:22" ht="31.5" x14ac:dyDescent="0.25">
      <c r="A41" s="469"/>
      <c r="B41" s="33" t="s">
        <v>46</v>
      </c>
      <c r="C41" s="404">
        <f t="shared" si="38"/>
        <v>30</v>
      </c>
      <c r="D41" s="161">
        <v>0</v>
      </c>
      <c r="E41" s="161">
        <v>0</v>
      </c>
      <c r="F41" s="144">
        <v>30</v>
      </c>
      <c r="G41" s="161">
        <v>0</v>
      </c>
      <c r="H41" s="161">
        <v>0</v>
      </c>
      <c r="I41" s="404">
        <f t="shared" si="5"/>
        <v>0</v>
      </c>
      <c r="J41" s="402">
        <v>0</v>
      </c>
      <c r="K41" s="402">
        <v>0</v>
      </c>
      <c r="L41" s="402">
        <v>0</v>
      </c>
      <c r="M41" s="402">
        <v>0</v>
      </c>
      <c r="N41" s="402">
        <v>0</v>
      </c>
      <c r="O41" s="171"/>
      <c r="P41" s="404">
        <f t="shared" si="2"/>
        <v>0</v>
      </c>
      <c r="Q41" s="402">
        <v>0</v>
      </c>
      <c r="R41" s="402">
        <v>0</v>
      </c>
      <c r="S41" s="402">
        <v>0</v>
      </c>
      <c r="T41" s="402">
        <v>0</v>
      </c>
      <c r="U41" s="402">
        <v>0</v>
      </c>
    </row>
    <row r="42" spans="1:22" ht="31.5" x14ac:dyDescent="0.25">
      <c r="A42" s="469"/>
      <c r="B42" s="97" t="s">
        <v>47</v>
      </c>
      <c r="C42" s="404">
        <f t="shared" si="38"/>
        <v>70</v>
      </c>
      <c r="D42" s="161">
        <v>0</v>
      </c>
      <c r="E42" s="161">
        <v>0</v>
      </c>
      <c r="F42" s="144"/>
      <c r="G42" s="161">
        <v>0</v>
      </c>
      <c r="H42" s="171">
        <v>70</v>
      </c>
      <c r="I42" s="404">
        <f>SUM(J42:N42)</f>
        <v>0</v>
      </c>
      <c r="J42" s="402">
        <v>0</v>
      </c>
      <c r="K42" s="402">
        <v>0</v>
      </c>
      <c r="L42" s="402">
        <v>0</v>
      </c>
      <c r="M42" s="402">
        <v>0</v>
      </c>
      <c r="N42" s="402">
        <v>0</v>
      </c>
      <c r="O42" s="171"/>
      <c r="P42" s="404">
        <f t="shared" si="2"/>
        <v>0</v>
      </c>
      <c r="Q42" s="402">
        <v>0</v>
      </c>
      <c r="R42" s="402">
        <v>0</v>
      </c>
      <c r="S42" s="402">
        <v>0</v>
      </c>
      <c r="T42" s="402">
        <v>0</v>
      </c>
      <c r="U42" s="402">
        <v>0</v>
      </c>
    </row>
    <row r="43" spans="1:22" ht="18" customHeight="1" x14ac:dyDescent="0.25">
      <c r="A43" s="469"/>
      <c r="B43" s="366" t="s">
        <v>1057</v>
      </c>
      <c r="C43" s="404"/>
      <c r="D43" s="161"/>
      <c r="E43" s="161"/>
      <c r="F43" s="144"/>
      <c r="G43" s="161"/>
      <c r="H43" s="171"/>
      <c r="I43" s="404">
        <f>SUM(J43:N43)</f>
        <v>158.19999999999999</v>
      </c>
      <c r="J43" s="402"/>
      <c r="K43" s="402"/>
      <c r="L43" s="402"/>
      <c r="M43" s="402">
        <v>0</v>
      </c>
      <c r="N43" s="402">
        <v>158.19999999999999</v>
      </c>
      <c r="O43" s="171"/>
      <c r="P43" s="404">
        <f>SUM(Q43:U43)</f>
        <v>158.19999999999999</v>
      </c>
      <c r="Q43" s="402"/>
      <c r="R43" s="402"/>
      <c r="S43" s="402"/>
      <c r="T43" s="402">
        <v>0</v>
      </c>
      <c r="U43" s="402">
        <v>158.19999999999999</v>
      </c>
    </row>
    <row r="44" spans="1:22" ht="22.5" customHeight="1" x14ac:dyDescent="0.25">
      <c r="A44" s="469"/>
      <c r="B44" s="177" t="s">
        <v>48</v>
      </c>
      <c r="C44" s="404">
        <f t="shared" si="38"/>
        <v>25</v>
      </c>
      <c r="D44" s="161">
        <v>0</v>
      </c>
      <c r="E44" s="161">
        <v>0</v>
      </c>
      <c r="F44" s="112">
        <f>SUM(F45:F46)</f>
        <v>25</v>
      </c>
      <c r="G44" s="161">
        <v>0</v>
      </c>
      <c r="H44" s="161">
        <v>0</v>
      </c>
      <c r="I44" s="404">
        <f t="shared" si="5"/>
        <v>1189.3</v>
      </c>
      <c r="J44" s="402">
        <v>0</v>
      </c>
      <c r="K44" s="402">
        <v>0</v>
      </c>
      <c r="L44" s="21">
        <f>SUM(L45:L46)</f>
        <v>10</v>
      </c>
      <c r="M44" s="402">
        <v>0</v>
      </c>
      <c r="N44" s="402">
        <f>SUM(N45:N46)</f>
        <v>1179.3</v>
      </c>
      <c r="O44" s="161">
        <f t="shared" ref="O44" si="41">SUM(O45:O48)</f>
        <v>0</v>
      </c>
      <c r="P44" s="404">
        <f t="shared" si="2"/>
        <v>1189.3</v>
      </c>
      <c r="Q44" s="402">
        <v>0</v>
      </c>
      <c r="R44" s="402">
        <v>0</v>
      </c>
      <c r="S44" s="21">
        <f>SUM(S45:S46)</f>
        <v>10</v>
      </c>
      <c r="T44" s="402">
        <v>0</v>
      </c>
      <c r="U44" s="402">
        <f>SUM(U45:U46)</f>
        <v>1179.3</v>
      </c>
    </row>
    <row r="45" spans="1:22" ht="69.75" customHeight="1" x14ac:dyDescent="0.25">
      <c r="A45" s="469"/>
      <c r="B45" s="5" t="s">
        <v>1024</v>
      </c>
      <c r="C45" s="404">
        <f t="shared" si="38"/>
        <v>10</v>
      </c>
      <c r="D45" s="161">
        <v>0</v>
      </c>
      <c r="E45" s="161">
        <v>0</v>
      </c>
      <c r="F45" s="144">
        <v>10</v>
      </c>
      <c r="G45" s="161">
        <v>0</v>
      </c>
      <c r="H45" s="161">
        <v>0</v>
      </c>
      <c r="I45" s="404">
        <f t="shared" si="5"/>
        <v>10</v>
      </c>
      <c r="J45" s="402">
        <v>0</v>
      </c>
      <c r="K45" s="402">
        <v>0</v>
      </c>
      <c r="L45" s="402">
        <v>10</v>
      </c>
      <c r="M45" s="402">
        <v>0</v>
      </c>
      <c r="N45" s="402"/>
      <c r="O45" s="171"/>
      <c r="P45" s="404">
        <f t="shared" si="2"/>
        <v>10</v>
      </c>
      <c r="Q45" s="402">
        <v>0</v>
      </c>
      <c r="R45" s="402">
        <v>0</v>
      </c>
      <c r="S45" s="402">
        <v>10</v>
      </c>
      <c r="T45" s="402">
        <v>0</v>
      </c>
      <c r="U45" s="402"/>
    </row>
    <row r="46" spans="1:22" ht="31.5" x14ac:dyDescent="0.25">
      <c r="A46" s="469"/>
      <c r="B46" s="3" t="s">
        <v>49</v>
      </c>
      <c r="C46" s="404">
        <f t="shared" si="38"/>
        <v>15</v>
      </c>
      <c r="D46" s="161">
        <v>0</v>
      </c>
      <c r="E46" s="161">
        <v>0</v>
      </c>
      <c r="F46" s="144">
        <v>15</v>
      </c>
      <c r="G46" s="161">
        <v>0</v>
      </c>
      <c r="H46" s="161">
        <v>0</v>
      </c>
      <c r="I46" s="404">
        <f t="shared" si="5"/>
        <v>1179.3</v>
      </c>
      <c r="J46" s="402">
        <v>0</v>
      </c>
      <c r="K46" s="402">
        <v>0</v>
      </c>
      <c r="L46" s="402">
        <v>0</v>
      </c>
      <c r="M46" s="402">
        <v>0</v>
      </c>
      <c r="N46" s="402">
        <v>1179.3</v>
      </c>
      <c r="O46" s="171"/>
      <c r="P46" s="404">
        <f t="shared" si="2"/>
        <v>1179.3</v>
      </c>
      <c r="Q46" s="402">
        <v>0</v>
      </c>
      <c r="R46" s="402">
        <v>0</v>
      </c>
      <c r="S46" s="402">
        <v>0</v>
      </c>
      <c r="T46" s="402">
        <v>0</v>
      </c>
      <c r="U46" s="402">
        <v>1179.3</v>
      </c>
    </row>
    <row r="47" spans="1:22" ht="19.5" customHeight="1" x14ac:dyDescent="0.25">
      <c r="A47" s="469"/>
      <c r="B47" s="6" t="s">
        <v>50</v>
      </c>
      <c r="C47" s="404">
        <f t="shared" si="38"/>
        <v>500</v>
      </c>
      <c r="D47" s="161">
        <v>0</v>
      </c>
      <c r="E47" s="161">
        <v>0</v>
      </c>
      <c r="F47" s="161">
        <v>0</v>
      </c>
      <c r="G47" s="161">
        <v>0</v>
      </c>
      <c r="H47" s="113">
        <f>SUM(H48)</f>
        <v>500</v>
      </c>
      <c r="I47" s="404">
        <f t="shared" si="5"/>
        <v>2336</v>
      </c>
      <c r="J47" s="402">
        <v>0</v>
      </c>
      <c r="K47" s="402">
        <v>0</v>
      </c>
      <c r="L47" s="21">
        <v>20</v>
      </c>
      <c r="M47" s="402">
        <v>0</v>
      </c>
      <c r="N47" s="21">
        <f>SUM(N48:N48)</f>
        <v>2316</v>
      </c>
      <c r="O47" s="113"/>
      <c r="P47" s="404">
        <f t="shared" si="2"/>
        <v>2336</v>
      </c>
      <c r="Q47" s="402">
        <v>0</v>
      </c>
      <c r="R47" s="402">
        <v>0</v>
      </c>
      <c r="S47" s="21">
        <v>20</v>
      </c>
      <c r="T47" s="402">
        <v>0</v>
      </c>
      <c r="U47" s="21">
        <f>SUM(U48:U48)</f>
        <v>2316</v>
      </c>
    </row>
    <row r="48" spans="1:22" ht="22.5" customHeight="1" x14ac:dyDescent="0.25">
      <c r="A48" s="469"/>
      <c r="B48" s="3" t="s">
        <v>51</v>
      </c>
      <c r="C48" s="404">
        <f t="shared" si="38"/>
        <v>500</v>
      </c>
      <c r="D48" s="161">
        <v>0</v>
      </c>
      <c r="E48" s="161">
        <v>0</v>
      </c>
      <c r="F48" s="161">
        <v>0</v>
      </c>
      <c r="G48" s="161">
        <v>0</v>
      </c>
      <c r="H48" s="171">
        <v>500</v>
      </c>
      <c r="I48" s="404">
        <f t="shared" si="5"/>
        <v>2336</v>
      </c>
      <c r="J48" s="402">
        <v>0</v>
      </c>
      <c r="K48" s="402">
        <v>0</v>
      </c>
      <c r="L48" s="402">
        <v>20</v>
      </c>
      <c r="M48" s="402">
        <v>0</v>
      </c>
      <c r="N48" s="402">
        <v>2316</v>
      </c>
      <c r="O48" s="171"/>
      <c r="P48" s="404">
        <f t="shared" si="2"/>
        <v>2336</v>
      </c>
      <c r="Q48" s="402">
        <v>0</v>
      </c>
      <c r="R48" s="402">
        <v>0</v>
      </c>
      <c r="S48" s="402">
        <v>20</v>
      </c>
      <c r="T48" s="402">
        <v>0</v>
      </c>
      <c r="U48" s="402">
        <v>2316</v>
      </c>
    </row>
    <row r="49" spans="1:22" x14ac:dyDescent="0.25">
      <c r="A49" s="469"/>
      <c r="B49" s="6" t="s">
        <v>52</v>
      </c>
      <c r="C49" s="404">
        <f t="shared" si="38"/>
        <v>650</v>
      </c>
      <c r="D49" s="161">
        <v>0</v>
      </c>
      <c r="E49" s="161">
        <v>0</v>
      </c>
      <c r="F49" s="161">
        <v>0</v>
      </c>
      <c r="G49" s="161">
        <v>0</v>
      </c>
      <c r="H49" s="113">
        <f>SUM(H50:H51)</f>
        <v>650</v>
      </c>
      <c r="I49" s="404">
        <f t="shared" si="5"/>
        <v>5215.2</v>
      </c>
      <c r="J49" s="402">
        <v>0</v>
      </c>
      <c r="K49" s="402">
        <v>0</v>
      </c>
      <c r="L49" s="21">
        <v>20</v>
      </c>
      <c r="M49" s="402">
        <v>0</v>
      </c>
      <c r="N49" s="21">
        <f>SUM(N50:N51)</f>
        <v>5195.2</v>
      </c>
      <c r="O49" s="171"/>
      <c r="P49" s="404">
        <f t="shared" si="2"/>
        <v>5215.2</v>
      </c>
      <c r="Q49" s="402">
        <v>0</v>
      </c>
      <c r="R49" s="402">
        <v>0</v>
      </c>
      <c r="S49" s="21">
        <v>20</v>
      </c>
      <c r="T49" s="402">
        <v>0</v>
      </c>
      <c r="U49" s="21">
        <f>SUM(U50:U51)</f>
        <v>5195.2</v>
      </c>
    </row>
    <row r="50" spans="1:22" ht="20.25" customHeight="1" x14ac:dyDescent="0.25">
      <c r="A50" s="469"/>
      <c r="B50" s="3" t="s">
        <v>53</v>
      </c>
      <c r="C50" s="404">
        <f t="shared" si="38"/>
        <v>0</v>
      </c>
      <c r="D50" s="161">
        <v>0</v>
      </c>
      <c r="E50" s="161">
        <v>0</v>
      </c>
      <c r="F50" s="161">
        <v>0</v>
      </c>
      <c r="G50" s="161">
        <v>0</v>
      </c>
      <c r="H50" s="171"/>
      <c r="I50" s="404">
        <f t="shared" si="5"/>
        <v>20</v>
      </c>
      <c r="J50" s="402">
        <v>0</v>
      </c>
      <c r="K50" s="402">
        <v>0</v>
      </c>
      <c r="L50" s="402">
        <v>20</v>
      </c>
      <c r="M50" s="402">
        <v>0</v>
      </c>
      <c r="N50" s="402"/>
      <c r="O50" s="171"/>
      <c r="P50" s="404">
        <f t="shared" si="2"/>
        <v>20</v>
      </c>
      <c r="Q50" s="402">
        <v>0</v>
      </c>
      <c r="R50" s="402">
        <v>0</v>
      </c>
      <c r="S50" s="402">
        <v>20</v>
      </c>
      <c r="T50" s="402">
        <v>0</v>
      </c>
      <c r="U50" s="402"/>
    </row>
    <row r="51" spans="1:22" ht="19.5" customHeight="1" x14ac:dyDescent="0.25">
      <c r="A51" s="469"/>
      <c r="B51" s="7" t="s">
        <v>54</v>
      </c>
      <c r="C51" s="404">
        <f t="shared" si="38"/>
        <v>650</v>
      </c>
      <c r="D51" s="161">
        <v>0</v>
      </c>
      <c r="E51" s="161">
        <v>0</v>
      </c>
      <c r="F51" s="161">
        <v>0</v>
      </c>
      <c r="G51" s="161">
        <v>0</v>
      </c>
      <c r="H51" s="171">
        <v>650</v>
      </c>
      <c r="I51" s="404">
        <f t="shared" si="5"/>
        <v>5195.2</v>
      </c>
      <c r="J51" s="402">
        <v>0</v>
      </c>
      <c r="K51" s="402">
        <v>0</v>
      </c>
      <c r="L51" s="402">
        <v>0</v>
      </c>
      <c r="M51" s="402">
        <v>0</v>
      </c>
      <c r="N51" s="402">
        <v>5195.2</v>
      </c>
      <c r="O51" s="171"/>
      <c r="P51" s="404">
        <f t="shared" si="2"/>
        <v>5195.2</v>
      </c>
      <c r="Q51" s="402">
        <v>0</v>
      </c>
      <c r="R51" s="402">
        <v>0</v>
      </c>
      <c r="S51" s="402">
        <v>0</v>
      </c>
      <c r="T51" s="402">
        <v>0</v>
      </c>
      <c r="U51" s="402">
        <v>5195.2</v>
      </c>
    </row>
    <row r="52" spans="1:22" ht="31.5" x14ac:dyDescent="0.25">
      <c r="A52" s="52">
        <v>4</v>
      </c>
      <c r="B52" s="8" t="s">
        <v>55</v>
      </c>
      <c r="C52" s="114">
        <f t="shared" si="38"/>
        <v>57943</v>
      </c>
      <c r="D52" s="172">
        <v>0</v>
      </c>
      <c r="E52" s="172">
        <v>0</v>
      </c>
      <c r="F52" s="66">
        <f>F53+F60+F71+F84</f>
        <v>56436.5</v>
      </c>
      <c r="G52" s="66">
        <f t="shared" ref="G52" si="42">G53+G60+G71+G84</f>
        <v>0</v>
      </c>
      <c r="H52" s="66">
        <f>H53+H60+H71+H84</f>
        <v>1506.5</v>
      </c>
      <c r="I52" s="404">
        <f t="shared" si="5"/>
        <v>61187.679999999993</v>
      </c>
      <c r="J52" s="404">
        <f t="shared" ref="J52:K52" si="43">J53+J60+J71+J84</f>
        <v>50</v>
      </c>
      <c r="K52" s="404">
        <f t="shared" si="43"/>
        <v>4.3499999999999996</v>
      </c>
      <c r="L52" s="404">
        <f>L53+L60+L71+L84</f>
        <v>59065.63</v>
      </c>
      <c r="M52" s="404">
        <f t="shared" ref="M52:N52" si="44">M53+M60+M71+M84</f>
        <v>0</v>
      </c>
      <c r="N52" s="404">
        <f t="shared" si="44"/>
        <v>2067.6999999999998</v>
      </c>
      <c r="O52" s="172"/>
      <c r="P52" s="404">
        <f>SUM(Q52:U52)</f>
        <v>61093.329999999994</v>
      </c>
      <c r="Q52" s="404">
        <f t="shared" ref="Q52:U52" si="45">Q53+Q60+Q71+Q84</f>
        <v>50</v>
      </c>
      <c r="R52" s="404">
        <f t="shared" si="45"/>
        <v>4.3499999999999996</v>
      </c>
      <c r="S52" s="404">
        <f t="shared" si="45"/>
        <v>58981.95</v>
      </c>
      <c r="T52" s="404">
        <f t="shared" si="45"/>
        <v>0</v>
      </c>
      <c r="U52" s="404">
        <f t="shared" si="45"/>
        <v>2057.0299999999997</v>
      </c>
      <c r="V52" s="174"/>
    </row>
    <row r="53" spans="1:22" x14ac:dyDescent="0.25">
      <c r="A53" s="469"/>
      <c r="B53" s="43" t="s">
        <v>783</v>
      </c>
      <c r="C53" s="114">
        <f t="shared" si="38"/>
        <v>11959.2</v>
      </c>
      <c r="D53" s="161">
        <v>0</v>
      </c>
      <c r="E53" s="161">
        <v>0</v>
      </c>
      <c r="F53" s="67">
        <f t="shared" ref="F53:H53" si="46">F54+F55+F59</f>
        <v>11959.2</v>
      </c>
      <c r="G53" s="67">
        <f t="shared" si="46"/>
        <v>0</v>
      </c>
      <c r="H53" s="67">
        <f t="shared" si="46"/>
        <v>0</v>
      </c>
      <c r="I53" s="404">
        <f t="shared" si="5"/>
        <v>11330.11</v>
      </c>
      <c r="J53" s="67">
        <f>J54+J55+J59</f>
        <v>0</v>
      </c>
      <c r="K53" s="67">
        <f t="shared" ref="K53:N53" si="47">K54+K55+K59</f>
        <v>0</v>
      </c>
      <c r="L53" s="68">
        <f t="shared" si="47"/>
        <v>11330.11</v>
      </c>
      <c r="M53" s="68">
        <f t="shared" si="47"/>
        <v>0</v>
      </c>
      <c r="N53" s="68">
        <f t="shared" si="47"/>
        <v>0</v>
      </c>
      <c r="O53" s="113"/>
      <c r="P53" s="404">
        <f t="shared" si="2"/>
        <v>11250.53</v>
      </c>
      <c r="Q53" s="402">
        <v>0</v>
      </c>
      <c r="R53" s="402">
        <v>0</v>
      </c>
      <c r="S53" s="68">
        <f t="shared" ref="S53:U53" si="48">S54+S55+S59</f>
        <v>11250.53</v>
      </c>
      <c r="T53" s="68">
        <f t="shared" si="48"/>
        <v>0</v>
      </c>
      <c r="U53" s="68">
        <f t="shared" si="48"/>
        <v>0</v>
      </c>
    </row>
    <row r="54" spans="1:22" x14ac:dyDescent="0.25">
      <c r="A54" s="469"/>
      <c r="B54" s="100" t="s">
        <v>839</v>
      </c>
      <c r="C54" s="114">
        <f t="shared" si="38"/>
        <v>11310.2</v>
      </c>
      <c r="D54" s="161">
        <v>0</v>
      </c>
      <c r="E54" s="161">
        <v>0</v>
      </c>
      <c r="F54" s="69">
        <v>11310.2</v>
      </c>
      <c r="G54" s="69">
        <v>0</v>
      </c>
      <c r="H54" s="69">
        <v>0</v>
      </c>
      <c r="I54" s="404">
        <f t="shared" si="5"/>
        <v>10841.11</v>
      </c>
      <c r="J54" s="70">
        <v>0</v>
      </c>
      <c r="K54" s="70">
        <v>0</v>
      </c>
      <c r="L54" s="429">
        <v>10841.11</v>
      </c>
      <c r="M54" s="71">
        <v>0</v>
      </c>
      <c r="N54" s="71">
        <v>0</v>
      </c>
      <c r="O54" s="171"/>
      <c r="P54" s="404">
        <f t="shared" si="2"/>
        <v>10761.53</v>
      </c>
      <c r="Q54" s="402">
        <v>0</v>
      </c>
      <c r="R54" s="402">
        <v>0</v>
      </c>
      <c r="S54" s="429">
        <v>10761.53</v>
      </c>
      <c r="T54" s="71">
        <v>0</v>
      </c>
      <c r="U54" s="71">
        <v>0</v>
      </c>
    </row>
    <row r="55" spans="1:22" x14ac:dyDescent="0.25">
      <c r="A55" s="469"/>
      <c r="B55" s="100" t="s">
        <v>840</v>
      </c>
      <c r="C55" s="114">
        <f t="shared" si="38"/>
        <v>170</v>
      </c>
      <c r="D55" s="161">
        <v>0</v>
      </c>
      <c r="E55" s="161">
        <v>0</v>
      </c>
      <c r="F55" s="69">
        <f t="shared" ref="F55:H55" si="49">SUM(F56:F58)</f>
        <v>170</v>
      </c>
      <c r="G55" s="69">
        <f t="shared" si="49"/>
        <v>0</v>
      </c>
      <c r="H55" s="69">
        <f t="shared" si="49"/>
        <v>0</v>
      </c>
      <c r="I55" s="404">
        <f t="shared" si="5"/>
        <v>60</v>
      </c>
      <c r="J55" s="69">
        <f t="shared" ref="J55:N55" si="50">SUM(J56:J58)</f>
        <v>0</v>
      </c>
      <c r="K55" s="69">
        <f t="shared" si="50"/>
        <v>0</v>
      </c>
      <c r="L55" s="71">
        <f t="shared" si="50"/>
        <v>60</v>
      </c>
      <c r="M55" s="71">
        <f t="shared" si="50"/>
        <v>0</v>
      </c>
      <c r="N55" s="71">
        <f t="shared" si="50"/>
        <v>0</v>
      </c>
      <c r="O55" s="171"/>
      <c r="P55" s="404">
        <f t="shared" si="2"/>
        <v>60</v>
      </c>
      <c r="Q55" s="402">
        <v>0</v>
      </c>
      <c r="R55" s="402">
        <v>0</v>
      </c>
      <c r="S55" s="71">
        <f t="shared" ref="S55:U55" si="51">SUM(S56:S58)</f>
        <v>60</v>
      </c>
      <c r="T55" s="71">
        <f t="shared" si="51"/>
        <v>0</v>
      </c>
      <c r="U55" s="71">
        <f t="shared" si="51"/>
        <v>0</v>
      </c>
    </row>
    <row r="56" spans="1:22" x14ac:dyDescent="0.25">
      <c r="A56" s="469"/>
      <c r="B56" s="157" t="s">
        <v>784</v>
      </c>
      <c r="C56" s="114">
        <f t="shared" si="38"/>
        <v>60</v>
      </c>
      <c r="D56" s="161">
        <v>0</v>
      </c>
      <c r="E56" s="161">
        <v>0</v>
      </c>
      <c r="F56" s="403">
        <v>60</v>
      </c>
      <c r="G56" s="403">
        <v>0</v>
      </c>
      <c r="H56" s="403">
        <v>0</v>
      </c>
      <c r="I56" s="404">
        <f t="shared" si="5"/>
        <v>60</v>
      </c>
      <c r="J56" s="70">
        <v>0</v>
      </c>
      <c r="K56" s="70">
        <v>0</v>
      </c>
      <c r="L56" s="367">
        <v>60</v>
      </c>
      <c r="M56" s="403">
        <v>0</v>
      </c>
      <c r="N56" s="403">
        <v>0</v>
      </c>
      <c r="O56" s="171"/>
      <c r="P56" s="404">
        <f t="shared" si="2"/>
        <v>60</v>
      </c>
      <c r="Q56" s="402">
        <v>0</v>
      </c>
      <c r="R56" s="402">
        <v>0</v>
      </c>
      <c r="S56" s="367">
        <v>60</v>
      </c>
      <c r="T56" s="403">
        <v>0</v>
      </c>
      <c r="U56" s="403">
        <v>0</v>
      </c>
    </row>
    <row r="57" spans="1:22" x14ac:dyDescent="0.25">
      <c r="A57" s="469"/>
      <c r="B57" s="157" t="s">
        <v>785</v>
      </c>
      <c r="C57" s="114">
        <f t="shared" si="38"/>
        <v>30</v>
      </c>
      <c r="D57" s="161">
        <v>0</v>
      </c>
      <c r="E57" s="161">
        <v>0</v>
      </c>
      <c r="F57" s="403">
        <v>30</v>
      </c>
      <c r="G57" s="403">
        <v>0</v>
      </c>
      <c r="H57" s="403">
        <v>0</v>
      </c>
      <c r="I57" s="404">
        <f t="shared" si="5"/>
        <v>0</v>
      </c>
      <c r="J57" s="70">
        <v>0</v>
      </c>
      <c r="K57" s="70">
        <v>0</v>
      </c>
      <c r="L57" s="403">
        <v>0</v>
      </c>
      <c r="M57" s="403">
        <v>0</v>
      </c>
      <c r="N57" s="403">
        <v>0</v>
      </c>
      <c r="O57" s="171"/>
      <c r="P57" s="404">
        <f t="shared" si="2"/>
        <v>0</v>
      </c>
      <c r="Q57" s="402">
        <v>0</v>
      </c>
      <c r="R57" s="402">
        <v>0</v>
      </c>
      <c r="S57" s="403">
        <v>0</v>
      </c>
      <c r="T57" s="403">
        <v>0</v>
      </c>
      <c r="U57" s="403">
        <v>0</v>
      </c>
    </row>
    <row r="58" spans="1:22" x14ac:dyDescent="0.25">
      <c r="A58" s="469"/>
      <c r="B58" s="157" t="s">
        <v>786</v>
      </c>
      <c r="C58" s="114">
        <f t="shared" si="38"/>
        <v>80</v>
      </c>
      <c r="D58" s="161">
        <v>0</v>
      </c>
      <c r="E58" s="161">
        <v>0</v>
      </c>
      <c r="F58" s="403">
        <v>80</v>
      </c>
      <c r="G58" s="403">
        <v>0</v>
      </c>
      <c r="H58" s="403">
        <v>0</v>
      </c>
      <c r="I58" s="404">
        <f t="shared" si="5"/>
        <v>0</v>
      </c>
      <c r="J58" s="70">
        <v>0</v>
      </c>
      <c r="K58" s="70">
        <v>0</v>
      </c>
      <c r="L58" s="403">
        <v>0</v>
      </c>
      <c r="M58" s="403">
        <v>0</v>
      </c>
      <c r="N58" s="403">
        <v>0</v>
      </c>
      <c r="O58" s="171"/>
      <c r="P58" s="404">
        <f t="shared" si="2"/>
        <v>0</v>
      </c>
      <c r="Q58" s="402">
        <v>0</v>
      </c>
      <c r="R58" s="402">
        <v>0</v>
      </c>
      <c r="S58" s="403">
        <v>0</v>
      </c>
      <c r="T58" s="403">
        <v>0</v>
      </c>
      <c r="U58" s="403">
        <v>0</v>
      </c>
    </row>
    <row r="59" spans="1:22" x14ac:dyDescent="0.25">
      <c r="A59" s="469"/>
      <c r="B59" s="101" t="s">
        <v>788</v>
      </c>
      <c r="C59" s="114">
        <f t="shared" si="38"/>
        <v>479</v>
      </c>
      <c r="D59" s="161">
        <v>0</v>
      </c>
      <c r="E59" s="161">
        <v>0</v>
      </c>
      <c r="F59" s="403">
        <v>479</v>
      </c>
      <c r="G59" s="403">
        <v>0</v>
      </c>
      <c r="H59" s="403">
        <v>0</v>
      </c>
      <c r="I59" s="404">
        <f t="shared" si="5"/>
        <v>429</v>
      </c>
      <c r="J59" s="70">
        <v>0</v>
      </c>
      <c r="K59" s="70">
        <v>0</v>
      </c>
      <c r="L59" s="73">
        <v>429</v>
      </c>
      <c r="M59" s="403">
        <v>0</v>
      </c>
      <c r="N59" s="403">
        <v>0</v>
      </c>
      <c r="O59" s="171"/>
      <c r="P59" s="404">
        <f t="shared" si="2"/>
        <v>429</v>
      </c>
      <c r="Q59" s="402">
        <v>0</v>
      </c>
      <c r="R59" s="402">
        <v>0</v>
      </c>
      <c r="S59" s="73">
        <v>429</v>
      </c>
      <c r="T59" s="403">
        <v>0</v>
      </c>
      <c r="U59" s="403">
        <f t="shared" ref="U59" si="52">G59-N59</f>
        <v>0</v>
      </c>
    </row>
    <row r="60" spans="1:22" ht="31.5" x14ac:dyDescent="0.25">
      <c r="A60" s="469"/>
      <c r="B60" s="43" t="s">
        <v>841</v>
      </c>
      <c r="C60" s="114">
        <f t="shared" si="38"/>
        <v>16704.099999999999</v>
      </c>
      <c r="D60" s="161">
        <v>0</v>
      </c>
      <c r="E60" s="161">
        <v>0</v>
      </c>
      <c r="F60" s="67">
        <f t="shared" ref="F60:H60" si="53">F61+F64+F67+F68</f>
        <v>15204.1</v>
      </c>
      <c r="G60" s="67">
        <f t="shared" si="53"/>
        <v>0</v>
      </c>
      <c r="H60" s="67">
        <f t="shared" si="53"/>
        <v>1500</v>
      </c>
      <c r="I60" s="404">
        <f t="shared" si="5"/>
        <v>22021.94</v>
      </c>
      <c r="J60" s="67">
        <f t="shared" ref="J60" si="54">J61+J64+J67+J68</f>
        <v>0</v>
      </c>
      <c r="K60" s="67">
        <f>K61+K64+K67+K68</f>
        <v>0</v>
      </c>
      <c r="L60" s="68">
        <f t="shared" ref="L60:N60" si="55">L61+L64+L67+L68</f>
        <v>19966.239999999998</v>
      </c>
      <c r="M60" s="68">
        <f t="shared" si="55"/>
        <v>0</v>
      </c>
      <c r="N60" s="68">
        <f t="shared" si="55"/>
        <v>2055.6999999999998</v>
      </c>
      <c r="O60" s="113"/>
      <c r="P60" s="404">
        <f t="shared" si="2"/>
        <v>22007.17</v>
      </c>
      <c r="Q60" s="402">
        <v>0</v>
      </c>
      <c r="R60" s="402">
        <v>0</v>
      </c>
      <c r="S60" s="68">
        <f t="shared" ref="S60:U60" si="56">S61+S64+S67+S68</f>
        <v>19962.14</v>
      </c>
      <c r="T60" s="68">
        <f t="shared" si="56"/>
        <v>0</v>
      </c>
      <c r="U60" s="68">
        <f t="shared" si="56"/>
        <v>2045.03</v>
      </c>
    </row>
    <row r="61" spans="1:22" x14ac:dyDescent="0.25">
      <c r="A61" s="469"/>
      <c r="B61" s="43" t="s">
        <v>789</v>
      </c>
      <c r="C61" s="114">
        <f t="shared" si="38"/>
        <v>15733.1</v>
      </c>
      <c r="D61" s="161">
        <v>0</v>
      </c>
      <c r="E61" s="161">
        <v>0</v>
      </c>
      <c r="F61" s="72">
        <f t="shared" ref="F61:H61" si="57">SUM(F62:F63)</f>
        <v>14233.1</v>
      </c>
      <c r="G61" s="72">
        <f t="shared" si="57"/>
        <v>0</v>
      </c>
      <c r="H61" s="72">
        <f t="shared" si="57"/>
        <v>1500</v>
      </c>
      <c r="I61" s="404">
        <f t="shared" si="5"/>
        <v>20144.439999999999</v>
      </c>
      <c r="J61" s="72">
        <f t="shared" ref="J61:N61" si="58">SUM(J62:J63)</f>
        <v>0</v>
      </c>
      <c r="K61" s="72">
        <f t="shared" si="58"/>
        <v>0</v>
      </c>
      <c r="L61" s="73">
        <f>SUM(L62:L63)</f>
        <v>18088.739999999998</v>
      </c>
      <c r="M61" s="73">
        <f t="shared" si="58"/>
        <v>0</v>
      </c>
      <c r="N61" s="73">
        <f t="shared" si="58"/>
        <v>2055.6999999999998</v>
      </c>
      <c r="O61" s="113"/>
      <c r="P61" s="404">
        <f t="shared" si="2"/>
        <v>20129.669999999998</v>
      </c>
      <c r="Q61" s="402">
        <v>0</v>
      </c>
      <c r="R61" s="402">
        <v>0</v>
      </c>
      <c r="S61" s="73">
        <f t="shared" ref="S61:U61" si="59">SUM(S62:S63)</f>
        <v>18084.64</v>
      </c>
      <c r="T61" s="73">
        <f t="shared" si="59"/>
        <v>0</v>
      </c>
      <c r="U61" s="73">
        <f t="shared" si="59"/>
        <v>2045.03</v>
      </c>
    </row>
    <row r="62" spans="1:22" x14ac:dyDescent="0.25">
      <c r="A62" s="469"/>
      <c r="B62" s="157" t="s">
        <v>789</v>
      </c>
      <c r="C62" s="114">
        <f t="shared" si="38"/>
        <v>15733.1</v>
      </c>
      <c r="D62" s="161">
        <v>0</v>
      </c>
      <c r="E62" s="161">
        <v>0</v>
      </c>
      <c r="F62" s="403">
        <v>14233.1</v>
      </c>
      <c r="G62" s="403">
        <v>0</v>
      </c>
      <c r="H62" s="403">
        <v>1500</v>
      </c>
      <c r="I62" s="404">
        <f t="shared" si="5"/>
        <v>19464.64</v>
      </c>
      <c r="J62" s="70">
        <v>0</v>
      </c>
      <c r="K62" s="70">
        <v>0</v>
      </c>
      <c r="L62" s="367">
        <v>17408.939999999999</v>
      </c>
      <c r="M62" s="403">
        <v>0</v>
      </c>
      <c r="N62" s="472">
        <v>2055.6999999999998</v>
      </c>
      <c r="O62" s="171"/>
      <c r="P62" s="404">
        <f t="shared" si="2"/>
        <v>19453.969999999998</v>
      </c>
      <c r="Q62" s="402">
        <v>0</v>
      </c>
      <c r="R62" s="402">
        <v>0</v>
      </c>
      <c r="S62" s="367">
        <v>17408.939999999999</v>
      </c>
      <c r="T62" s="403">
        <v>0</v>
      </c>
      <c r="U62" s="472">
        <v>2045.03</v>
      </c>
    </row>
    <row r="63" spans="1:22" x14ac:dyDescent="0.25">
      <c r="A63" s="469"/>
      <c r="B63" s="157" t="s">
        <v>790</v>
      </c>
      <c r="C63" s="114">
        <f t="shared" si="38"/>
        <v>0</v>
      </c>
      <c r="D63" s="161">
        <v>0</v>
      </c>
      <c r="E63" s="161">
        <v>0</v>
      </c>
      <c r="F63" s="403">
        <v>0</v>
      </c>
      <c r="G63" s="403">
        <v>0</v>
      </c>
      <c r="H63" s="403">
        <v>0</v>
      </c>
      <c r="I63" s="404">
        <f t="shared" si="5"/>
        <v>679.8</v>
      </c>
      <c r="J63" s="70">
        <v>0</v>
      </c>
      <c r="K63" s="70">
        <v>0</v>
      </c>
      <c r="L63" s="367">
        <v>679.8</v>
      </c>
      <c r="M63" s="403">
        <v>0</v>
      </c>
      <c r="N63" s="403">
        <v>0</v>
      </c>
      <c r="O63" s="171"/>
      <c r="P63" s="404">
        <f t="shared" si="2"/>
        <v>675.7</v>
      </c>
      <c r="Q63" s="402">
        <v>0</v>
      </c>
      <c r="R63" s="402">
        <v>0</v>
      </c>
      <c r="S63" s="367">
        <v>675.7</v>
      </c>
      <c r="T63" s="403">
        <v>0</v>
      </c>
      <c r="U63" s="403">
        <v>0</v>
      </c>
    </row>
    <row r="64" spans="1:22" x14ac:dyDescent="0.25">
      <c r="A64" s="469"/>
      <c r="B64" s="102" t="s">
        <v>842</v>
      </c>
      <c r="C64" s="114">
        <f t="shared" si="38"/>
        <v>0</v>
      </c>
      <c r="D64" s="161">
        <v>0</v>
      </c>
      <c r="E64" s="161">
        <v>0</v>
      </c>
      <c r="F64" s="70">
        <f t="shared" ref="F64:H64" si="60">SUM(F65:F66)</f>
        <v>0</v>
      </c>
      <c r="G64" s="70">
        <f t="shared" si="60"/>
        <v>0</v>
      </c>
      <c r="H64" s="70">
        <f t="shared" si="60"/>
        <v>0</v>
      </c>
      <c r="I64" s="404">
        <f t="shared" si="5"/>
        <v>0</v>
      </c>
      <c r="J64" s="70">
        <f t="shared" ref="J64:N64" si="61">SUM(J65:J66)</f>
        <v>0</v>
      </c>
      <c r="K64" s="70">
        <f t="shared" si="61"/>
        <v>0</v>
      </c>
      <c r="L64" s="403">
        <f t="shared" si="61"/>
        <v>0</v>
      </c>
      <c r="M64" s="403">
        <f t="shared" si="61"/>
        <v>0</v>
      </c>
      <c r="N64" s="403">
        <f t="shared" si="61"/>
        <v>0</v>
      </c>
      <c r="O64" s="171"/>
      <c r="P64" s="404">
        <f t="shared" si="2"/>
        <v>0</v>
      </c>
      <c r="Q64" s="402">
        <v>0</v>
      </c>
      <c r="R64" s="402">
        <v>0</v>
      </c>
      <c r="S64" s="403">
        <f t="shared" ref="S64:U64" si="62">SUM(S65:S66)</f>
        <v>0</v>
      </c>
      <c r="T64" s="403">
        <f t="shared" si="62"/>
        <v>0</v>
      </c>
      <c r="U64" s="403">
        <f t="shared" si="62"/>
        <v>0</v>
      </c>
    </row>
    <row r="65" spans="1:21" x14ac:dyDescent="0.25">
      <c r="A65" s="469"/>
      <c r="B65" s="157" t="s">
        <v>791</v>
      </c>
      <c r="C65" s="114">
        <f t="shared" si="38"/>
        <v>0</v>
      </c>
      <c r="D65" s="161">
        <v>0</v>
      </c>
      <c r="E65" s="161">
        <v>0</v>
      </c>
      <c r="F65" s="70">
        <v>0</v>
      </c>
      <c r="G65" s="70">
        <v>0</v>
      </c>
      <c r="H65" s="70">
        <v>0</v>
      </c>
      <c r="I65" s="404">
        <f t="shared" si="5"/>
        <v>0</v>
      </c>
      <c r="J65" s="70">
        <v>0</v>
      </c>
      <c r="K65" s="70">
        <v>0</v>
      </c>
      <c r="L65" s="403">
        <v>0</v>
      </c>
      <c r="M65" s="403">
        <v>0</v>
      </c>
      <c r="N65" s="403">
        <v>0</v>
      </c>
      <c r="O65" s="171"/>
      <c r="P65" s="404">
        <f t="shared" si="2"/>
        <v>0</v>
      </c>
      <c r="Q65" s="402">
        <v>0</v>
      </c>
      <c r="R65" s="402">
        <v>0</v>
      </c>
      <c r="S65" s="403">
        <v>0</v>
      </c>
      <c r="T65" s="403">
        <v>0</v>
      </c>
      <c r="U65" s="403">
        <v>0</v>
      </c>
    </row>
    <row r="66" spans="1:21" x14ac:dyDescent="0.25">
      <c r="A66" s="469"/>
      <c r="B66" s="157" t="s">
        <v>792</v>
      </c>
      <c r="C66" s="114">
        <f t="shared" si="38"/>
        <v>0</v>
      </c>
      <c r="D66" s="161">
        <v>0</v>
      </c>
      <c r="E66" s="161">
        <v>0</v>
      </c>
      <c r="F66" s="69">
        <v>0</v>
      </c>
      <c r="G66" s="69">
        <v>0</v>
      </c>
      <c r="H66" s="69">
        <v>0</v>
      </c>
      <c r="I66" s="404">
        <f t="shared" si="5"/>
        <v>0</v>
      </c>
      <c r="J66" s="69">
        <v>0</v>
      </c>
      <c r="K66" s="71">
        <v>0</v>
      </c>
      <c r="L66" s="71">
        <v>0</v>
      </c>
      <c r="M66" s="71">
        <v>0</v>
      </c>
      <c r="N66" s="71">
        <v>0</v>
      </c>
      <c r="O66" s="171"/>
      <c r="P66" s="404">
        <f t="shared" si="2"/>
        <v>0</v>
      </c>
      <c r="Q66" s="402">
        <v>0</v>
      </c>
      <c r="R66" s="402">
        <v>0</v>
      </c>
      <c r="S66" s="71">
        <v>0</v>
      </c>
      <c r="T66" s="71">
        <v>0</v>
      </c>
      <c r="U66" s="71">
        <v>0</v>
      </c>
    </row>
    <row r="67" spans="1:21" x14ac:dyDescent="0.25">
      <c r="A67" s="469"/>
      <c r="B67" s="103" t="s">
        <v>843</v>
      </c>
      <c r="C67" s="114">
        <f t="shared" si="38"/>
        <v>0</v>
      </c>
      <c r="D67" s="161">
        <v>0</v>
      </c>
      <c r="E67" s="161">
        <v>0</v>
      </c>
      <c r="F67" s="70">
        <v>0</v>
      </c>
      <c r="G67" s="70">
        <v>0</v>
      </c>
      <c r="H67" s="70">
        <v>0</v>
      </c>
      <c r="I67" s="404">
        <f t="shared" si="5"/>
        <v>255</v>
      </c>
      <c r="J67" s="70">
        <v>0</v>
      </c>
      <c r="K67" s="403"/>
      <c r="L67" s="73">
        <v>255</v>
      </c>
      <c r="M67" s="403">
        <v>0</v>
      </c>
      <c r="N67" s="403">
        <v>0</v>
      </c>
      <c r="O67" s="171"/>
      <c r="P67" s="404">
        <f t="shared" si="2"/>
        <v>255</v>
      </c>
      <c r="Q67" s="402">
        <v>0</v>
      </c>
      <c r="R67" s="402">
        <v>0</v>
      </c>
      <c r="S67" s="73">
        <v>255</v>
      </c>
      <c r="T67" s="403">
        <v>0</v>
      </c>
      <c r="U67" s="403">
        <v>0</v>
      </c>
    </row>
    <row r="68" spans="1:21" x14ac:dyDescent="0.25">
      <c r="A68" s="469"/>
      <c r="B68" s="157" t="s">
        <v>846</v>
      </c>
      <c r="C68" s="114">
        <f t="shared" si="38"/>
        <v>971</v>
      </c>
      <c r="D68" s="161">
        <v>0</v>
      </c>
      <c r="E68" s="161">
        <v>0</v>
      </c>
      <c r="F68" s="403">
        <f t="shared" ref="F68:H68" si="63">SUM(F69:F70)</f>
        <v>971</v>
      </c>
      <c r="G68" s="403">
        <f t="shared" si="63"/>
        <v>0</v>
      </c>
      <c r="H68" s="403">
        <f t="shared" si="63"/>
        <v>0</v>
      </c>
      <c r="I68" s="404">
        <f t="shared" si="5"/>
        <v>1622.5</v>
      </c>
      <c r="J68" s="73">
        <f t="shared" ref="J68:N68" si="64">SUM(J69:J70)</f>
        <v>0</v>
      </c>
      <c r="K68" s="73">
        <f t="shared" si="64"/>
        <v>0</v>
      </c>
      <c r="L68" s="73">
        <f>SUM(L69:L70)</f>
        <v>1622.5</v>
      </c>
      <c r="M68" s="73">
        <f t="shared" si="64"/>
        <v>0</v>
      </c>
      <c r="N68" s="73">
        <f t="shared" si="64"/>
        <v>0</v>
      </c>
      <c r="O68" s="113"/>
      <c r="P68" s="404">
        <f t="shared" si="2"/>
        <v>1622.5</v>
      </c>
      <c r="Q68" s="402">
        <v>0</v>
      </c>
      <c r="R68" s="402">
        <v>0</v>
      </c>
      <c r="S68" s="73">
        <f t="shared" ref="S68:U68" si="65">SUM(S69:S70)</f>
        <v>1622.5</v>
      </c>
      <c r="T68" s="73">
        <f t="shared" si="65"/>
        <v>0</v>
      </c>
      <c r="U68" s="73">
        <f t="shared" si="65"/>
        <v>0</v>
      </c>
    </row>
    <row r="69" spans="1:21" x14ac:dyDescent="0.25">
      <c r="A69" s="469"/>
      <c r="B69" s="100" t="s">
        <v>844</v>
      </c>
      <c r="C69" s="114">
        <f t="shared" si="38"/>
        <v>471</v>
      </c>
      <c r="D69" s="161">
        <v>0</v>
      </c>
      <c r="E69" s="161">
        <v>0</v>
      </c>
      <c r="F69" s="403">
        <v>471</v>
      </c>
      <c r="G69" s="403">
        <v>0</v>
      </c>
      <c r="H69" s="403">
        <v>0</v>
      </c>
      <c r="I69" s="404">
        <f t="shared" ref="I69:I133" si="66">SUM(J69:N69)</f>
        <v>1122.5</v>
      </c>
      <c r="J69" s="70">
        <v>0</v>
      </c>
      <c r="K69" s="70">
        <v>0</v>
      </c>
      <c r="L69" s="73">
        <f>1056+66.5</f>
        <v>1122.5</v>
      </c>
      <c r="M69" s="403">
        <v>0</v>
      </c>
      <c r="N69" s="403">
        <v>0</v>
      </c>
      <c r="O69" s="171"/>
      <c r="P69" s="404">
        <f t="shared" ref="P69:P133" si="67">SUM(Q69:U69)</f>
        <v>1122.5</v>
      </c>
      <c r="Q69" s="402">
        <v>0</v>
      </c>
      <c r="R69" s="402">
        <v>0</v>
      </c>
      <c r="S69" s="73">
        <f>1056+66.5</f>
        <v>1122.5</v>
      </c>
      <c r="T69" s="403">
        <v>0</v>
      </c>
      <c r="U69" s="403">
        <v>0</v>
      </c>
    </row>
    <row r="70" spans="1:21" x14ac:dyDescent="0.25">
      <c r="A70" s="469"/>
      <c r="B70" s="104" t="s">
        <v>845</v>
      </c>
      <c r="C70" s="114">
        <f t="shared" si="38"/>
        <v>500</v>
      </c>
      <c r="D70" s="161">
        <v>0</v>
      </c>
      <c r="E70" s="161">
        <v>0</v>
      </c>
      <c r="F70" s="403">
        <v>500</v>
      </c>
      <c r="G70" s="403">
        <v>0</v>
      </c>
      <c r="H70" s="403">
        <v>0</v>
      </c>
      <c r="I70" s="404">
        <f t="shared" si="66"/>
        <v>500</v>
      </c>
      <c r="J70" s="70">
        <v>0</v>
      </c>
      <c r="K70" s="70">
        <v>0</v>
      </c>
      <c r="L70" s="73">
        <v>500</v>
      </c>
      <c r="M70" s="403">
        <v>0</v>
      </c>
      <c r="N70" s="403">
        <v>0</v>
      </c>
      <c r="O70" s="171"/>
      <c r="P70" s="404">
        <f t="shared" si="67"/>
        <v>500</v>
      </c>
      <c r="Q70" s="402">
        <v>0</v>
      </c>
      <c r="R70" s="402">
        <v>0</v>
      </c>
      <c r="S70" s="73">
        <v>500</v>
      </c>
      <c r="T70" s="403">
        <v>0</v>
      </c>
      <c r="U70" s="403">
        <v>0</v>
      </c>
    </row>
    <row r="71" spans="1:21" x14ac:dyDescent="0.25">
      <c r="A71" s="469"/>
      <c r="B71" s="43" t="s">
        <v>793</v>
      </c>
      <c r="C71" s="114">
        <f t="shared" si="38"/>
        <v>29279.7</v>
      </c>
      <c r="D71" s="161">
        <v>0</v>
      </c>
      <c r="E71" s="161">
        <v>0</v>
      </c>
      <c r="F71" s="72">
        <f t="shared" ref="F71:H71" si="68">F83+F80+F75+F72</f>
        <v>29273.200000000001</v>
      </c>
      <c r="G71" s="72">
        <f t="shared" si="68"/>
        <v>0</v>
      </c>
      <c r="H71" s="72">
        <f t="shared" si="68"/>
        <v>6.5</v>
      </c>
      <c r="I71" s="404">
        <f t="shared" si="66"/>
        <v>27835.629999999997</v>
      </c>
      <c r="J71" s="72">
        <f>J83+J80+J75+J72</f>
        <v>50</v>
      </c>
      <c r="K71" s="72">
        <f t="shared" ref="K71:N71" si="69">K83+K80+K75+K72</f>
        <v>4.3499999999999996</v>
      </c>
      <c r="L71" s="73">
        <f>L83+L80+L75+L72</f>
        <v>27769.279999999999</v>
      </c>
      <c r="M71" s="73">
        <f t="shared" si="69"/>
        <v>0</v>
      </c>
      <c r="N71" s="73">
        <f t="shared" si="69"/>
        <v>12</v>
      </c>
      <c r="O71" s="113"/>
      <c r="P71" s="404">
        <f t="shared" si="67"/>
        <v>27835.629999999997</v>
      </c>
      <c r="Q71" s="176">
        <f t="shared" ref="Q71:R71" si="70">SUM(Q72)</f>
        <v>50</v>
      </c>
      <c r="R71" s="176">
        <f t="shared" si="70"/>
        <v>4.3499999999999996</v>
      </c>
      <c r="S71" s="73">
        <f t="shared" ref="S71:U71" si="71">S83+S80+S75+S72</f>
        <v>27769.279999999999</v>
      </c>
      <c r="T71" s="73">
        <f t="shared" si="71"/>
        <v>0</v>
      </c>
      <c r="U71" s="73">
        <f t="shared" si="71"/>
        <v>12</v>
      </c>
    </row>
    <row r="72" spans="1:21" ht="19.5" customHeight="1" x14ac:dyDescent="0.25">
      <c r="A72" s="469"/>
      <c r="B72" s="100" t="s">
        <v>794</v>
      </c>
      <c r="C72" s="114">
        <f t="shared" si="38"/>
        <v>28399.7</v>
      </c>
      <c r="D72" s="161">
        <v>0</v>
      </c>
      <c r="E72" s="161">
        <v>0</v>
      </c>
      <c r="F72" s="70">
        <f t="shared" ref="F72:H72" si="72">SUM(F73:F74)</f>
        <v>28393.200000000001</v>
      </c>
      <c r="G72" s="70">
        <f t="shared" si="72"/>
        <v>0</v>
      </c>
      <c r="H72" s="70">
        <f t="shared" si="72"/>
        <v>6.5</v>
      </c>
      <c r="I72" s="404">
        <f t="shared" si="66"/>
        <v>27680.629999999997</v>
      </c>
      <c r="J72" s="72">
        <f>SUM(J73:J74)</f>
        <v>50</v>
      </c>
      <c r="K72" s="72">
        <f t="shared" ref="K72:N72" si="73">SUM(K73:K74)</f>
        <v>4.3499999999999996</v>
      </c>
      <c r="L72" s="73">
        <f>SUM(L73:L74)</f>
        <v>27614.28</v>
      </c>
      <c r="M72" s="73">
        <f t="shared" si="73"/>
        <v>0</v>
      </c>
      <c r="N72" s="73">
        <f t="shared" si="73"/>
        <v>12</v>
      </c>
      <c r="O72" s="113"/>
      <c r="P72" s="404">
        <f t="shared" si="67"/>
        <v>27680.629999999997</v>
      </c>
      <c r="Q72" s="73">
        <f>SUM(Q73:Q74)</f>
        <v>50</v>
      </c>
      <c r="R72" s="73">
        <f>SUM(R73:R74)</f>
        <v>4.3499999999999996</v>
      </c>
      <c r="S72" s="73">
        <f t="shared" ref="S72:U72" si="74">SUM(S73:S74)</f>
        <v>27614.28</v>
      </c>
      <c r="T72" s="73">
        <f t="shared" si="74"/>
        <v>0</v>
      </c>
      <c r="U72" s="73">
        <f t="shared" si="74"/>
        <v>12</v>
      </c>
    </row>
    <row r="73" spans="1:21" ht="21.75" customHeight="1" x14ac:dyDescent="0.25">
      <c r="A73" s="469"/>
      <c r="B73" s="157" t="s">
        <v>794</v>
      </c>
      <c r="C73" s="114">
        <f t="shared" si="38"/>
        <v>28399.7</v>
      </c>
      <c r="D73" s="161">
        <v>0</v>
      </c>
      <c r="E73" s="161">
        <v>0</v>
      </c>
      <c r="F73" s="403">
        <v>28393.200000000001</v>
      </c>
      <c r="G73" s="70">
        <v>0</v>
      </c>
      <c r="H73" s="403">
        <v>6.5</v>
      </c>
      <c r="I73" s="404">
        <f t="shared" si="66"/>
        <v>27059.48</v>
      </c>
      <c r="J73" s="70">
        <v>0</v>
      </c>
      <c r="K73" s="403">
        <v>0</v>
      </c>
      <c r="L73" s="367">
        <v>27047.48</v>
      </c>
      <c r="M73" s="403">
        <v>0</v>
      </c>
      <c r="N73" s="403">
        <v>12</v>
      </c>
      <c r="O73" s="171"/>
      <c r="P73" s="404">
        <f t="shared" si="67"/>
        <v>27059.48</v>
      </c>
      <c r="Q73" s="402">
        <v>0</v>
      </c>
      <c r="R73" s="402">
        <v>0</v>
      </c>
      <c r="S73" s="367">
        <v>27047.48</v>
      </c>
      <c r="T73" s="403">
        <v>0</v>
      </c>
      <c r="U73" s="403">
        <v>12</v>
      </c>
    </row>
    <row r="74" spans="1:21" x14ac:dyDescent="0.25">
      <c r="A74" s="469"/>
      <c r="B74" s="157" t="s">
        <v>795</v>
      </c>
      <c r="C74" s="114">
        <f t="shared" si="38"/>
        <v>0</v>
      </c>
      <c r="D74" s="161">
        <v>0</v>
      </c>
      <c r="E74" s="161">
        <v>0</v>
      </c>
      <c r="F74" s="70">
        <v>0</v>
      </c>
      <c r="G74" s="70">
        <v>0</v>
      </c>
      <c r="H74" s="70">
        <v>0</v>
      </c>
      <c r="I74" s="404">
        <f t="shared" si="66"/>
        <v>621.15</v>
      </c>
      <c r="J74" s="70">
        <v>50</v>
      </c>
      <c r="K74" s="70">
        <v>4.3499999999999996</v>
      </c>
      <c r="L74" s="367">
        <v>566.79999999999995</v>
      </c>
      <c r="M74" s="403">
        <v>0</v>
      </c>
      <c r="N74" s="403">
        <v>0</v>
      </c>
      <c r="O74" s="171"/>
      <c r="P74" s="404">
        <f>SUM(Q74:U74)</f>
        <v>621.15</v>
      </c>
      <c r="Q74" s="402">
        <v>50</v>
      </c>
      <c r="R74" s="402">
        <v>4.3499999999999996</v>
      </c>
      <c r="S74" s="367">
        <v>566.79999999999995</v>
      </c>
      <c r="T74" s="403">
        <v>0</v>
      </c>
      <c r="U74" s="403">
        <v>0</v>
      </c>
    </row>
    <row r="75" spans="1:21" x14ac:dyDescent="0.25">
      <c r="A75" s="469"/>
      <c r="B75" s="100" t="s">
        <v>56</v>
      </c>
      <c r="C75" s="114">
        <f t="shared" si="38"/>
        <v>800</v>
      </c>
      <c r="D75" s="161">
        <v>0</v>
      </c>
      <c r="E75" s="161">
        <v>0</v>
      </c>
      <c r="F75" s="70">
        <f t="shared" ref="F75:H75" si="75">SUM(F76:F78)</f>
        <v>800</v>
      </c>
      <c r="G75" s="70">
        <f t="shared" si="75"/>
        <v>0</v>
      </c>
      <c r="H75" s="70">
        <f t="shared" si="75"/>
        <v>0</v>
      </c>
      <c r="I75" s="404">
        <f t="shared" si="66"/>
        <v>0</v>
      </c>
      <c r="J75" s="70">
        <f t="shared" ref="J75:N75" si="76">SUM(J76:J78)</f>
        <v>0</v>
      </c>
      <c r="K75" s="70">
        <f t="shared" si="76"/>
        <v>0</v>
      </c>
      <c r="L75" s="403">
        <f t="shared" si="76"/>
        <v>0</v>
      </c>
      <c r="M75" s="403">
        <f t="shared" si="76"/>
        <v>0</v>
      </c>
      <c r="N75" s="403">
        <f t="shared" si="76"/>
        <v>0</v>
      </c>
      <c r="O75" s="171"/>
      <c r="P75" s="404">
        <f t="shared" si="67"/>
        <v>0</v>
      </c>
      <c r="Q75" s="402">
        <v>0</v>
      </c>
      <c r="R75" s="402">
        <v>0</v>
      </c>
      <c r="S75" s="403">
        <f t="shared" ref="S75:U75" si="77">SUM(S76:S78)</f>
        <v>0</v>
      </c>
      <c r="T75" s="403">
        <f t="shared" si="77"/>
        <v>0</v>
      </c>
      <c r="U75" s="403">
        <f t="shared" si="77"/>
        <v>0</v>
      </c>
    </row>
    <row r="76" spans="1:21" x14ac:dyDescent="0.25">
      <c r="A76" s="469"/>
      <c r="B76" s="102" t="s">
        <v>796</v>
      </c>
      <c r="C76" s="114">
        <f t="shared" si="38"/>
        <v>0</v>
      </c>
      <c r="D76" s="161">
        <v>0</v>
      </c>
      <c r="E76" s="161">
        <v>0</v>
      </c>
      <c r="F76" s="70">
        <v>0</v>
      </c>
      <c r="G76" s="70">
        <v>0</v>
      </c>
      <c r="H76" s="70">
        <v>0</v>
      </c>
      <c r="I76" s="404">
        <f t="shared" si="66"/>
        <v>0</v>
      </c>
      <c r="J76" s="70">
        <v>0</v>
      </c>
      <c r="K76" s="70">
        <v>0</v>
      </c>
      <c r="L76" s="403">
        <v>0</v>
      </c>
      <c r="M76" s="403">
        <v>0</v>
      </c>
      <c r="N76" s="403">
        <v>0</v>
      </c>
      <c r="O76" s="171"/>
      <c r="P76" s="404">
        <f t="shared" si="67"/>
        <v>0</v>
      </c>
      <c r="Q76" s="402">
        <v>0</v>
      </c>
      <c r="R76" s="402">
        <v>0</v>
      </c>
      <c r="S76" s="403">
        <v>0</v>
      </c>
      <c r="T76" s="403">
        <v>0</v>
      </c>
      <c r="U76" s="403">
        <v>0</v>
      </c>
    </row>
    <row r="77" spans="1:21" x14ac:dyDescent="0.25">
      <c r="A77" s="469"/>
      <c r="B77" s="105" t="s">
        <v>847</v>
      </c>
      <c r="C77" s="114">
        <f t="shared" si="38"/>
        <v>0</v>
      </c>
      <c r="D77" s="161">
        <v>0</v>
      </c>
      <c r="E77" s="161">
        <v>0</v>
      </c>
      <c r="F77" s="69">
        <v>0</v>
      </c>
      <c r="G77" s="69">
        <v>0</v>
      </c>
      <c r="H77" s="69">
        <v>0</v>
      </c>
      <c r="I77" s="404">
        <f t="shared" si="66"/>
        <v>0</v>
      </c>
      <c r="J77" s="69">
        <v>0</v>
      </c>
      <c r="K77" s="69">
        <v>0</v>
      </c>
      <c r="L77" s="71">
        <v>0</v>
      </c>
      <c r="M77" s="71">
        <v>0</v>
      </c>
      <c r="N77" s="71">
        <v>0</v>
      </c>
      <c r="O77" s="171"/>
      <c r="P77" s="404">
        <f t="shared" si="67"/>
        <v>0</v>
      </c>
      <c r="Q77" s="402">
        <v>0</v>
      </c>
      <c r="R77" s="402">
        <v>0</v>
      </c>
      <c r="S77" s="71">
        <v>0</v>
      </c>
      <c r="T77" s="71">
        <v>0</v>
      </c>
      <c r="U77" s="71">
        <v>0</v>
      </c>
    </row>
    <row r="78" spans="1:21" x14ac:dyDescent="0.25">
      <c r="A78" s="469"/>
      <c r="B78" s="105" t="s">
        <v>848</v>
      </c>
      <c r="C78" s="114">
        <f t="shared" si="38"/>
        <v>800</v>
      </c>
      <c r="D78" s="161">
        <v>0</v>
      </c>
      <c r="E78" s="161">
        <v>0</v>
      </c>
      <c r="F78" s="69">
        <f>F79</f>
        <v>800</v>
      </c>
      <c r="G78" s="69">
        <f t="shared" ref="G78:H78" si="78">G79</f>
        <v>0</v>
      </c>
      <c r="H78" s="69">
        <f t="shared" si="78"/>
        <v>0</v>
      </c>
      <c r="I78" s="404">
        <f t="shared" si="66"/>
        <v>0</v>
      </c>
      <c r="J78" s="69">
        <f t="shared" ref="J78:N78" si="79">J79</f>
        <v>0</v>
      </c>
      <c r="K78" s="69">
        <f t="shared" si="79"/>
        <v>0</v>
      </c>
      <c r="L78" s="71">
        <f t="shared" si="79"/>
        <v>0</v>
      </c>
      <c r="M78" s="71">
        <f t="shared" si="79"/>
        <v>0</v>
      </c>
      <c r="N78" s="71">
        <f t="shared" si="79"/>
        <v>0</v>
      </c>
      <c r="O78" s="171"/>
      <c r="P78" s="404">
        <f t="shared" si="67"/>
        <v>0</v>
      </c>
      <c r="Q78" s="402">
        <v>0</v>
      </c>
      <c r="R78" s="402">
        <v>0</v>
      </c>
      <c r="S78" s="71">
        <f t="shared" ref="S78:U78" si="80">S79</f>
        <v>0</v>
      </c>
      <c r="T78" s="71">
        <f t="shared" si="80"/>
        <v>0</v>
      </c>
      <c r="U78" s="71">
        <f t="shared" si="80"/>
        <v>0</v>
      </c>
    </row>
    <row r="79" spans="1:21" x14ac:dyDescent="0.25">
      <c r="A79" s="469"/>
      <c r="B79" s="44" t="s">
        <v>797</v>
      </c>
      <c r="C79" s="114">
        <f t="shared" si="38"/>
        <v>800</v>
      </c>
      <c r="D79" s="161">
        <v>0</v>
      </c>
      <c r="E79" s="161">
        <v>0</v>
      </c>
      <c r="F79" s="70">
        <v>800</v>
      </c>
      <c r="G79" s="70">
        <v>0</v>
      </c>
      <c r="H79" s="70">
        <v>0</v>
      </c>
      <c r="I79" s="404">
        <f t="shared" si="66"/>
        <v>0</v>
      </c>
      <c r="J79" s="70">
        <v>0</v>
      </c>
      <c r="K79" s="70">
        <v>0</v>
      </c>
      <c r="L79" s="403">
        <v>0</v>
      </c>
      <c r="M79" s="403">
        <v>0</v>
      </c>
      <c r="N79" s="403">
        <v>0</v>
      </c>
      <c r="O79" s="171"/>
      <c r="P79" s="404">
        <f t="shared" si="67"/>
        <v>0</v>
      </c>
      <c r="Q79" s="402">
        <v>0</v>
      </c>
      <c r="R79" s="402">
        <v>0</v>
      </c>
      <c r="S79" s="403">
        <v>0</v>
      </c>
      <c r="T79" s="403">
        <v>0</v>
      </c>
      <c r="U79" s="403">
        <v>0</v>
      </c>
    </row>
    <row r="80" spans="1:21" x14ac:dyDescent="0.25">
      <c r="A80" s="469"/>
      <c r="B80" s="105" t="s">
        <v>849</v>
      </c>
      <c r="C80" s="114">
        <f t="shared" si="38"/>
        <v>0</v>
      </c>
      <c r="D80" s="161">
        <v>0</v>
      </c>
      <c r="E80" s="161">
        <v>0</v>
      </c>
      <c r="F80" s="70">
        <f t="shared" ref="F80:H80" si="81">SUM(F81:F82)</f>
        <v>0</v>
      </c>
      <c r="G80" s="70">
        <f t="shared" si="81"/>
        <v>0</v>
      </c>
      <c r="H80" s="70">
        <f t="shared" si="81"/>
        <v>0</v>
      </c>
      <c r="I80" s="404">
        <f t="shared" si="66"/>
        <v>0</v>
      </c>
      <c r="J80" s="70">
        <f t="shared" ref="J80:N80" si="82">SUM(J81:J82)</f>
        <v>0</v>
      </c>
      <c r="K80" s="70">
        <f t="shared" si="82"/>
        <v>0</v>
      </c>
      <c r="L80" s="403">
        <f t="shared" si="82"/>
        <v>0</v>
      </c>
      <c r="M80" s="403">
        <f t="shared" si="82"/>
        <v>0</v>
      </c>
      <c r="N80" s="403">
        <f t="shared" si="82"/>
        <v>0</v>
      </c>
      <c r="O80" s="171"/>
      <c r="P80" s="404">
        <f t="shared" si="67"/>
        <v>0</v>
      </c>
      <c r="Q80" s="402">
        <v>0</v>
      </c>
      <c r="R80" s="402">
        <v>0</v>
      </c>
      <c r="S80" s="403">
        <f t="shared" ref="S80:U80" si="83">SUM(S81:S82)</f>
        <v>0</v>
      </c>
      <c r="T80" s="403">
        <f t="shared" si="83"/>
        <v>0</v>
      </c>
      <c r="U80" s="403">
        <f t="shared" si="83"/>
        <v>0</v>
      </c>
    </row>
    <row r="81" spans="1:22" x14ac:dyDescent="0.25">
      <c r="A81" s="469"/>
      <c r="B81" s="105" t="s">
        <v>798</v>
      </c>
      <c r="C81" s="114">
        <f t="shared" si="38"/>
        <v>0</v>
      </c>
      <c r="D81" s="161">
        <v>0</v>
      </c>
      <c r="E81" s="161">
        <v>0</v>
      </c>
      <c r="F81" s="70">
        <v>0</v>
      </c>
      <c r="G81" s="70">
        <v>0</v>
      </c>
      <c r="H81" s="70">
        <v>0</v>
      </c>
      <c r="I81" s="404">
        <f t="shared" si="66"/>
        <v>0</v>
      </c>
      <c r="J81" s="70">
        <v>0</v>
      </c>
      <c r="K81" s="70">
        <v>0</v>
      </c>
      <c r="L81" s="403">
        <v>0</v>
      </c>
      <c r="M81" s="403">
        <v>0</v>
      </c>
      <c r="N81" s="403">
        <v>0</v>
      </c>
      <c r="O81" s="171"/>
      <c r="P81" s="404">
        <f t="shared" si="67"/>
        <v>0</v>
      </c>
      <c r="Q81" s="402">
        <v>0</v>
      </c>
      <c r="R81" s="402">
        <v>0</v>
      </c>
      <c r="S81" s="403">
        <v>0</v>
      </c>
      <c r="T81" s="403">
        <v>0</v>
      </c>
      <c r="U81" s="403">
        <v>0</v>
      </c>
    </row>
    <row r="82" spans="1:22" x14ac:dyDescent="0.25">
      <c r="A82" s="469"/>
      <c r="B82" s="105" t="s">
        <v>799</v>
      </c>
      <c r="C82" s="114">
        <f t="shared" si="38"/>
        <v>0</v>
      </c>
      <c r="D82" s="161">
        <v>0</v>
      </c>
      <c r="E82" s="161">
        <v>0</v>
      </c>
      <c r="F82" s="70">
        <v>0</v>
      </c>
      <c r="G82" s="70">
        <v>0</v>
      </c>
      <c r="H82" s="70">
        <v>0</v>
      </c>
      <c r="I82" s="404">
        <f t="shared" si="66"/>
        <v>0</v>
      </c>
      <c r="J82" s="70">
        <v>0</v>
      </c>
      <c r="K82" s="70">
        <v>0</v>
      </c>
      <c r="L82" s="403">
        <v>0</v>
      </c>
      <c r="M82" s="403">
        <v>0</v>
      </c>
      <c r="N82" s="403">
        <v>0</v>
      </c>
      <c r="O82" s="171"/>
      <c r="P82" s="404">
        <f t="shared" si="67"/>
        <v>0</v>
      </c>
      <c r="Q82" s="402">
        <v>0</v>
      </c>
      <c r="R82" s="402">
        <v>0</v>
      </c>
      <c r="S82" s="403">
        <v>0</v>
      </c>
      <c r="T82" s="403">
        <v>0</v>
      </c>
      <c r="U82" s="403">
        <v>0</v>
      </c>
    </row>
    <row r="83" spans="1:22" x14ac:dyDescent="0.25">
      <c r="A83" s="469"/>
      <c r="B83" s="183" t="s">
        <v>846</v>
      </c>
      <c r="C83" s="114">
        <f t="shared" si="38"/>
        <v>80</v>
      </c>
      <c r="D83" s="161">
        <v>0</v>
      </c>
      <c r="E83" s="161">
        <v>0</v>
      </c>
      <c r="F83" s="72">
        <v>80</v>
      </c>
      <c r="G83" s="72">
        <v>0</v>
      </c>
      <c r="H83" s="72">
        <v>0</v>
      </c>
      <c r="I83" s="404">
        <f t="shared" si="66"/>
        <v>155</v>
      </c>
      <c r="J83" s="72">
        <v>0</v>
      </c>
      <c r="K83" s="72">
        <v>0</v>
      </c>
      <c r="L83" s="73">
        <v>155</v>
      </c>
      <c r="M83" s="73">
        <v>0</v>
      </c>
      <c r="N83" s="73">
        <v>0</v>
      </c>
      <c r="O83" s="113"/>
      <c r="P83" s="404">
        <f t="shared" si="67"/>
        <v>155</v>
      </c>
      <c r="Q83" s="402">
        <v>0</v>
      </c>
      <c r="R83" s="402">
        <v>0</v>
      </c>
      <c r="S83" s="73">
        <v>155</v>
      </c>
      <c r="T83" s="403">
        <v>0</v>
      </c>
      <c r="U83" s="403">
        <v>0</v>
      </c>
    </row>
    <row r="84" spans="1:22" x14ac:dyDescent="0.25">
      <c r="A84" s="90"/>
      <c r="B84" s="43" t="s">
        <v>801</v>
      </c>
      <c r="C84" s="114">
        <f t="shared" si="38"/>
        <v>0</v>
      </c>
      <c r="D84" s="161">
        <v>0</v>
      </c>
      <c r="E84" s="161">
        <v>0</v>
      </c>
      <c r="F84" s="72">
        <f>SUM(F85:F88)</f>
        <v>0</v>
      </c>
      <c r="G84" s="72">
        <f t="shared" ref="G84:H84" si="84">SUM(G85:G88)</f>
        <v>0</v>
      </c>
      <c r="H84" s="72">
        <f t="shared" si="84"/>
        <v>0</v>
      </c>
      <c r="I84" s="404">
        <f t="shared" si="66"/>
        <v>0</v>
      </c>
      <c r="J84" s="72">
        <f t="shared" ref="J84:K84" si="85">SUM(J87:J89)+J85</f>
        <v>0</v>
      </c>
      <c r="K84" s="72">
        <f t="shared" si="85"/>
        <v>0</v>
      </c>
      <c r="L84" s="72">
        <f t="shared" ref="L84:N84" si="86">SUM(L85:L88)</f>
        <v>0</v>
      </c>
      <c r="M84" s="72">
        <f t="shared" si="86"/>
        <v>0</v>
      </c>
      <c r="N84" s="72">
        <f t="shared" si="86"/>
        <v>0</v>
      </c>
      <c r="O84" s="113"/>
      <c r="P84" s="404">
        <f t="shared" si="67"/>
        <v>0</v>
      </c>
      <c r="Q84" s="402">
        <v>0</v>
      </c>
      <c r="R84" s="402">
        <v>0</v>
      </c>
      <c r="S84" s="72">
        <f t="shared" ref="S84:U84" si="87">SUM(S85:S88)</f>
        <v>0</v>
      </c>
      <c r="T84" s="72">
        <f t="shared" si="87"/>
        <v>0</v>
      </c>
      <c r="U84" s="72">
        <f t="shared" si="87"/>
        <v>0</v>
      </c>
    </row>
    <row r="85" spans="1:22" x14ac:dyDescent="0.25">
      <c r="A85" s="469"/>
      <c r="B85" s="103" t="s">
        <v>800</v>
      </c>
      <c r="C85" s="114">
        <f t="shared" si="38"/>
        <v>0</v>
      </c>
      <c r="D85" s="161">
        <v>0</v>
      </c>
      <c r="E85" s="161">
        <v>0</v>
      </c>
      <c r="F85" s="70">
        <f t="shared" ref="F85:G85" si="88">F86</f>
        <v>0</v>
      </c>
      <c r="G85" s="70">
        <f t="shared" si="88"/>
        <v>0</v>
      </c>
      <c r="H85" s="70">
        <f>H86</f>
        <v>0</v>
      </c>
      <c r="I85" s="404">
        <f t="shared" si="66"/>
        <v>0</v>
      </c>
      <c r="J85" s="70">
        <f t="shared" ref="J85:N85" si="89">J86</f>
        <v>0</v>
      </c>
      <c r="K85" s="70">
        <f t="shared" si="89"/>
        <v>0</v>
      </c>
      <c r="L85" s="403">
        <f t="shared" si="89"/>
        <v>0</v>
      </c>
      <c r="M85" s="403">
        <f t="shared" si="89"/>
        <v>0</v>
      </c>
      <c r="N85" s="403">
        <f t="shared" si="89"/>
        <v>0</v>
      </c>
      <c r="O85" s="170"/>
      <c r="P85" s="404">
        <f t="shared" si="67"/>
        <v>0</v>
      </c>
      <c r="Q85" s="402">
        <v>0</v>
      </c>
      <c r="R85" s="402">
        <v>0</v>
      </c>
      <c r="S85" s="403">
        <f t="shared" ref="S85:U85" si="90">S86</f>
        <v>0</v>
      </c>
      <c r="T85" s="403">
        <f t="shared" si="90"/>
        <v>0</v>
      </c>
      <c r="U85" s="403">
        <f t="shared" si="90"/>
        <v>0</v>
      </c>
    </row>
    <row r="86" spans="1:22" x14ac:dyDescent="0.25">
      <c r="A86" s="469"/>
      <c r="B86" s="157" t="s">
        <v>800</v>
      </c>
      <c r="C86" s="114">
        <f t="shared" si="38"/>
        <v>0</v>
      </c>
      <c r="D86" s="161">
        <v>0</v>
      </c>
      <c r="E86" s="161">
        <v>0</v>
      </c>
      <c r="F86" s="403">
        <v>0</v>
      </c>
      <c r="G86" s="70">
        <v>0</v>
      </c>
      <c r="H86" s="403">
        <v>0</v>
      </c>
      <c r="I86" s="404">
        <f t="shared" si="66"/>
        <v>0</v>
      </c>
      <c r="J86" s="70">
        <v>0</v>
      </c>
      <c r="K86" s="403">
        <v>0</v>
      </c>
      <c r="L86" s="403">
        <v>0</v>
      </c>
      <c r="M86" s="403">
        <v>0</v>
      </c>
      <c r="N86" s="403">
        <v>0</v>
      </c>
      <c r="O86" s="171"/>
      <c r="P86" s="404">
        <f t="shared" si="67"/>
        <v>0</v>
      </c>
      <c r="Q86" s="402">
        <v>0</v>
      </c>
      <c r="R86" s="402">
        <v>0</v>
      </c>
      <c r="S86" s="403">
        <v>0</v>
      </c>
      <c r="T86" s="403">
        <v>0</v>
      </c>
      <c r="U86" s="403">
        <v>0</v>
      </c>
    </row>
    <row r="87" spans="1:22" x14ac:dyDescent="0.25">
      <c r="A87" s="469"/>
      <c r="B87" s="103" t="s">
        <v>851</v>
      </c>
      <c r="C87" s="114">
        <f t="shared" si="38"/>
        <v>0</v>
      </c>
      <c r="D87" s="161">
        <v>0</v>
      </c>
      <c r="E87" s="161">
        <v>0</v>
      </c>
      <c r="F87" s="70">
        <v>0</v>
      </c>
      <c r="G87" s="70">
        <v>0</v>
      </c>
      <c r="H87" s="70">
        <v>0</v>
      </c>
      <c r="I87" s="404">
        <f t="shared" si="66"/>
        <v>0</v>
      </c>
      <c r="J87" s="70">
        <v>0</v>
      </c>
      <c r="K87" s="70">
        <v>0</v>
      </c>
      <c r="L87" s="403">
        <v>0</v>
      </c>
      <c r="M87" s="403">
        <v>0</v>
      </c>
      <c r="N87" s="403">
        <v>0</v>
      </c>
      <c r="O87" s="171"/>
      <c r="P87" s="404">
        <f t="shared" si="67"/>
        <v>0</v>
      </c>
      <c r="Q87" s="402">
        <v>0</v>
      </c>
      <c r="R87" s="402">
        <v>0</v>
      </c>
      <c r="S87" s="403">
        <v>0</v>
      </c>
      <c r="T87" s="403">
        <v>0</v>
      </c>
      <c r="U87" s="403">
        <v>0</v>
      </c>
    </row>
    <row r="88" spans="1:22" x14ac:dyDescent="0.25">
      <c r="A88" s="469"/>
      <c r="B88" s="103" t="s">
        <v>850</v>
      </c>
      <c r="C88" s="114">
        <f t="shared" si="38"/>
        <v>0</v>
      </c>
      <c r="D88" s="161">
        <v>0</v>
      </c>
      <c r="E88" s="161">
        <v>0</v>
      </c>
      <c r="F88" s="70">
        <v>0</v>
      </c>
      <c r="G88" s="70">
        <v>0</v>
      </c>
      <c r="H88" s="70">
        <v>0</v>
      </c>
      <c r="I88" s="404">
        <f t="shared" si="66"/>
        <v>0</v>
      </c>
      <c r="J88" s="70">
        <v>0</v>
      </c>
      <c r="K88" s="70">
        <v>0</v>
      </c>
      <c r="L88" s="403">
        <v>0</v>
      </c>
      <c r="M88" s="403">
        <v>0</v>
      </c>
      <c r="N88" s="403">
        <v>0</v>
      </c>
      <c r="O88" s="171"/>
      <c r="P88" s="404">
        <f t="shared" si="67"/>
        <v>0</v>
      </c>
      <c r="Q88" s="402">
        <v>0</v>
      </c>
      <c r="R88" s="402">
        <v>0</v>
      </c>
      <c r="S88" s="403">
        <v>0</v>
      </c>
      <c r="T88" s="403">
        <v>0</v>
      </c>
      <c r="U88" s="403">
        <v>0</v>
      </c>
    </row>
    <row r="89" spans="1:22" ht="54.75" customHeight="1" x14ac:dyDescent="0.25">
      <c r="A89" s="52">
        <v>5</v>
      </c>
      <c r="B89" s="8" t="s">
        <v>1009</v>
      </c>
      <c r="C89" s="114">
        <f>SUM(C90:C96)</f>
        <v>590</v>
      </c>
      <c r="D89" s="36">
        <f t="shared" ref="D89:H89" si="91">SUM(D90:D96)</f>
        <v>0</v>
      </c>
      <c r="E89" s="36">
        <f t="shared" si="91"/>
        <v>0</v>
      </c>
      <c r="F89" s="36">
        <f>SUM(F90:F97)</f>
        <v>495</v>
      </c>
      <c r="G89" s="36">
        <f t="shared" si="91"/>
        <v>110</v>
      </c>
      <c r="H89" s="36">
        <f t="shared" si="91"/>
        <v>0</v>
      </c>
      <c r="I89" s="404">
        <f t="shared" si="66"/>
        <v>286.601</v>
      </c>
      <c r="J89" s="36">
        <f t="shared" ref="J89:O89" si="92">SUM(J90:J96)</f>
        <v>0</v>
      </c>
      <c r="K89" s="36">
        <f t="shared" si="92"/>
        <v>0</v>
      </c>
      <c r="L89" s="36">
        <f>SUM(L90:L96)</f>
        <v>286.601</v>
      </c>
      <c r="M89" s="36">
        <f t="shared" si="92"/>
        <v>0</v>
      </c>
      <c r="N89" s="36">
        <f t="shared" si="92"/>
        <v>0</v>
      </c>
      <c r="O89" s="36">
        <f t="shared" si="92"/>
        <v>0</v>
      </c>
      <c r="P89" s="404">
        <f t="shared" si="67"/>
        <v>286.601</v>
      </c>
      <c r="Q89" s="36">
        <f>SUM(Q90:Q96)</f>
        <v>0</v>
      </c>
      <c r="R89" s="36">
        <f>SUM(R90:R96)</f>
        <v>0</v>
      </c>
      <c r="S89" s="404">
        <f>SUM(S90:S97)</f>
        <v>286.601</v>
      </c>
      <c r="T89" s="36">
        <f>SUM(T90:T96)</f>
        <v>0</v>
      </c>
      <c r="U89" s="36">
        <f>SUM(U90:U96)</f>
        <v>0</v>
      </c>
      <c r="V89" s="174"/>
    </row>
    <row r="90" spans="1:22" ht="20.25" customHeight="1" x14ac:dyDescent="0.25">
      <c r="A90" s="710"/>
      <c r="B90" s="9" t="s">
        <v>57</v>
      </c>
      <c r="C90" s="712">
        <f t="shared" ref="C90:C97" si="93">SUM(D90:H90)</f>
        <v>35</v>
      </c>
      <c r="D90" s="161">
        <v>0</v>
      </c>
      <c r="E90" s="161">
        <v>0</v>
      </c>
      <c r="F90" s="35">
        <v>35</v>
      </c>
      <c r="G90" s="161">
        <v>0</v>
      </c>
      <c r="H90" s="161">
        <v>0</v>
      </c>
      <c r="I90" s="404">
        <f t="shared" si="66"/>
        <v>0</v>
      </c>
      <c r="J90" s="402">
        <v>0</v>
      </c>
      <c r="K90" s="402">
        <v>0</v>
      </c>
      <c r="L90" s="431"/>
      <c r="M90" s="402">
        <v>0</v>
      </c>
      <c r="N90" s="402">
        <v>0</v>
      </c>
      <c r="O90" s="171"/>
      <c r="P90" s="404">
        <f t="shared" si="67"/>
        <v>0</v>
      </c>
      <c r="Q90" s="402">
        <v>0</v>
      </c>
      <c r="R90" s="402">
        <v>0</v>
      </c>
      <c r="S90" s="403">
        <v>0</v>
      </c>
      <c r="T90" s="402">
        <v>0</v>
      </c>
      <c r="U90" s="402">
        <v>0</v>
      </c>
    </row>
    <row r="91" spans="1:22" ht="31.5" x14ac:dyDescent="0.25">
      <c r="A91" s="710"/>
      <c r="B91" s="166" t="s">
        <v>852</v>
      </c>
      <c r="C91" s="712">
        <f t="shared" si="93"/>
        <v>100</v>
      </c>
      <c r="D91" s="161">
        <v>0</v>
      </c>
      <c r="E91" s="161">
        <v>0</v>
      </c>
      <c r="F91" s="35">
        <v>50</v>
      </c>
      <c r="G91" s="35">
        <v>50</v>
      </c>
      <c r="H91" s="161">
        <v>0</v>
      </c>
      <c r="I91" s="404">
        <f t="shared" si="66"/>
        <v>92.3</v>
      </c>
      <c r="J91" s="402">
        <v>0</v>
      </c>
      <c r="K91" s="402">
        <v>0</v>
      </c>
      <c r="L91" s="374">
        <v>92.3</v>
      </c>
      <c r="M91" s="402">
        <v>0</v>
      </c>
      <c r="N91" s="402">
        <v>0</v>
      </c>
      <c r="O91" s="171"/>
      <c r="P91" s="404">
        <f t="shared" si="67"/>
        <v>92.3</v>
      </c>
      <c r="Q91" s="402">
        <v>0</v>
      </c>
      <c r="R91" s="402">
        <v>0</v>
      </c>
      <c r="S91" s="391">
        <v>92.3</v>
      </c>
      <c r="T91" s="402">
        <v>0</v>
      </c>
      <c r="U91" s="402">
        <v>0</v>
      </c>
    </row>
    <row r="92" spans="1:22" x14ac:dyDescent="0.25">
      <c r="A92" s="710"/>
      <c r="B92" s="166" t="s">
        <v>58</v>
      </c>
      <c r="C92" s="712">
        <f t="shared" si="93"/>
        <v>370</v>
      </c>
      <c r="D92" s="161">
        <v>0</v>
      </c>
      <c r="E92" s="161">
        <v>0</v>
      </c>
      <c r="F92" s="35">
        <v>320</v>
      </c>
      <c r="G92" s="35">
        <v>50</v>
      </c>
      <c r="H92" s="161">
        <v>0</v>
      </c>
      <c r="I92" s="404">
        <f t="shared" si="66"/>
        <v>0</v>
      </c>
      <c r="J92" s="402">
        <v>0</v>
      </c>
      <c r="K92" s="402">
        <v>0</v>
      </c>
      <c r="L92" s="391"/>
      <c r="M92" s="402">
        <v>0</v>
      </c>
      <c r="N92" s="402">
        <v>0</v>
      </c>
      <c r="O92" s="171"/>
      <c r="P92" s="404">
        <f t="shared" si="67"/>
        <v>158.86099999999999</v>
      </c>
      <c r="Q92" s="402">
        <v>0</v>
      </c>
      <c r="R92" s="402">
        <v>0</v>
      </c>
      <c r="S92" s="391">
        <v>158.86099999999999</v>
      </c>
      <c r="T92" s="402">
        <v>0</v>
      </c>
      <c r="U92" s="402">
        <v>0</v>
      </c>
    </row>
    <row r="93" spans="1:22" ht="22.5" customHeight="1" x14ac:dyDescent="0.25">
      <c r="A93" s="710"/>
      <c r="B93" s="713" t="s">
        <v>1070</v>
      </c>
      <c r="C93" s="712"/>
      <c r="D93" s="161"/>
      <c r="E93" s="161"/>
      <c r="F93" s="35"/>
      <c r="G93" s="35"/>
      <c r="H93" s="161"/>
      <c r="I93" s="404"/>
      <c r="J93" s="402"/>
      <c r="K93" s="402"/>
      <c r="L93" s="391">
        <v>158.86099999999999</v>
      </c>
      <c r="M93" s="402"/>
      <c r="N93" s="402"/>
      <c r="O93" s="171"/>
      <c r="P93" s="404"/>
      <c r="Q93" s="402"/>
      <c r="R93" s="402"/>
      <c r="S93" s="391"/>
      <c r="T93" s="402"/>
      <c r="U93" s="402"/>
    </row>
    <row r="94" spans="1:22" ht="31.5" x14ac:dyDescent="0.25">
      <c r="A94" s="710"/>
      <c r="B94" s="166" t="s">
        <v>59</v>
      </c>
      <c r="C94" s="712">
        <f t="shared" si="93"/>
        <v>60</v>
      </c>
      <c r="D94" s="161">
        <v>0</v>
      </c>
      <c r="E94" s="161">
        <v>0</v>
      </c>
      <c r="F94" s="35">
        <v>50</v>
      </c>
      <c r="G94" s="35">
        <v>10</v>
      </c>
      <c r="H94" s="161">
        <v>0</v>
      </c>
      <c r="I94" s="404">
        <f t="shared" si="66"/>
        <v>0</v>
      </c>
      <c r="J94" s="402">
        <v>0</v>
      </c>
      <c r="K94" s="402">
        <v>0</v>
      </c>
      <c r="L94" s="374"/>
      <c r="M94" s="402">
        <v>0</v>
      </c>
      <c r="N94" s="402">
        <v>0</v>
      </c>
      <c r="O94" s="171"/>
      <c r="P94" s="404">
        <f t="shared" si="67"/>
        <v>0</v>
      </c>
      <c r="Q94" s="402">
        <v>0</v>
      </c>
      <c r="R94" s="402">
        <v>0</v>
      </c>
      <c r="S94" s="374"/>
      <c r="T94" s="402">
        <v>0</v>
      </c>
      <c r="U94" s="402">
        <v>0</v>
      </c>
    </row>
    <row r="95" spans="1:22" ht="36.75" customHeight="1" x14ac:dyDescent="0.25">
      <c r="A95" s="710"/>
      <c r="B95" s="166" t="s">
        <v>60</v>
      </c>
      <c r="C95" s="712">
        <f t="shared" si="93"/>
        <v>20</v>
      </c>
      <c r="D95" s="161">
        <v>0</v>
      </c>
      <c r="E95" s="161">
        <v>0</v>
      </c>
      <c r="F95" s="35">
        <v>20</v>
      </c>
      <c r="G95" s="161">
        <v>0</v>
      </c>
      <c r="H95" s="161">
        <v>0</v>
      </c>
      <c r="I95" s="404">
        <f t="shared" si="66"/>
        <v>30.596</v>
      </c>
      <c r="J95" s="402">
        <v>0</v>
      </c>
      <c r="K95" s="402">
        <v>0</v>
      </c>
      <c r="L95" s="403">
        <v>30.596</v>
      </c>
      <c r="M95" s="402">
        <v>0</v>
      </c>
      <c r="N95" s="402">
        <v>0</v>
      </c>
      <c r="O95" s="171"/>
      <c r="P95" s="404">
        <f t="shared" si="67"/>
        <v>30.596</v>
      </c>
      <c r="Q95" s="402">
        <v>0</v>
      </c>
      <c r="R95" s="402">
        <v>0</v>
      </c>
      <c r="S95" s="403">
        <v>30.596</v>
      </c>
      <c r="T95" s="402">
        <v>0</v>
      </c>
      <c r="U95" s="402">
        <v>0</v>
      </c>
    </row>
    <row r="96" spans="1:22" ht="31.5" x14ac:dyDescent="0.25">
      <c r="A96" s="710"/>
      <c r="B96" s="714" t="s">
        <v>1088</v>
      </c>
      <c r="C96" s="712">
        <f t="shared" si="93"/>
        <v>5</v>
      </c>
      <c r="D96" s="161">
        <v>0</v>
      </c>
      <c r="E96" s="161">
        <v>0</v>
      </c>
      <c r="F96" s="35">
        <v>5</v>
      </c>
      <c r="G96" s="161">
        <v>0</v>
      </c>
      <c r="H96" s="161">
        <v>0</v>
      </c>
      <c r="I96" s="404">
        <f t="shared" si="66"/>
        <v>4.8440000000000003</v>
      </c>
      <c r="J96" s="402">
        <v>0</v>
      </c>
      <c r="K96" s="402">
        <v>0</v>
      </c>
      <c r="L96" s="374">
        <v>4.8440000000000003</v>
      </c>
      <c r="M96" s="402">
        <v>0</v>
      </c>
      <c r="N96" s="402">
        <v>0</v>
      </c>
      <c r="O96" s="171"/>
      <c r="P96" s="404">
        <f t="shared" si="67"/>
        <v>4.8440000000000003</v>
      </c>
      <c r="Q96" s="402">
        <v>0</v>
      </c>
      <c r="R96" s="402">
        <v>0</v>
      </c>
      <c r="S96" s="403">
        <v>4.8440000000000003</v>
      </c>
      <c r="T96" s="402">
        <v>0</v>
      </c>
      <c r="U96" s="402">
        <v>0</v>
      </c>
    </row>
    <row r="97" spans="1:22" ht="22.5" customHeight="1" x14ac:dyDescent="0.25">
      <c r="A97" s="710"/>
      <c r="B97" s="3" t="s">
        <v>61</v>
      </c>
      <c r="C97" s="712">
        <f t="shared" si="93"/>
        <v>15</v>
      </c>
      <c r="D97" s="161">
        <v>0</v>
      </c>
      <c r="E97" s="161">
        <v>0</v>
      </c>
      <c r="F97" s="35">
        <v>15</v>
      </c>
      <c r="G97" s="161">
        <v>0</v>
      </c>
      <c r="H97" s="161">
        <v>0</v>
      </c>
      <c r="I97" s="404">
        <f t="shared" si="66"/>
        <v>0</v>
      </c>
      <c r="J97" s="35"/>
      <c r="K97" s="35"/>
      <c r="L97" s="374"/>
      <c r="M97" s="171"/>
      <c r="N97" s="171"/>
      <c r="O97" s="171"/>
      <c r="P97" s="404">
        <f t="shared" si="67"/>
        <v>0</v>
      </c>
      <c r="Q97" s="171"/>
      <c r="R97" s="171"/>
      <c r="S97" s="391"/>
      <c r="T97" s="171"/>
      <c r="U97" s="171"/>
    </row>
    <row r="98" spans="1:22" x14ac:dyDescent="0.25">
      <c r="A98" s="52">
        <v>6</v>
      </c>
      <c r="B98" s="24" t="s">
        <v>62</v>
      </c>
      <c r="C98" s="404">
        <f>C99+C102+C106+C111+C116</f>
        <v>965</v>
      </c>
      <c r="D98" s="404">
        <f t="shared" ref="D98:H98" si="94">D99+D102+D106+D111+D116</f>
        <v>0</v>
      </c>
      <c r="E98" s="404">
        <f t="shared" si="94"/>
        <v>0</v>
      </c>
      <c r="F98" s="404">
        <f t="shared" si="94"/>
        <v>965</v>
      </c>
      <c r="G98" s="404">
        <f t="shared" si="94"/>
        <v>0</v>
      </c>
      <c r="H98" s="404">
        <f t="shared" si="94"/>
        <v>0</v>
      </c>
      <c r="I98" s="404">
        <f t="shared" si="66"/>
        <v>670.00162000000012</v>
      </c>
      <c r="J98" s="404">
        <f t="shared" ref="J98:U98" si="95">J99+J102+J106+J111+J116</f>
        <v>0</v>
      </c>
      <c r="K98" s="404">
        <f t="shared" si="95"/>
        <v>0</v>
      </c>
      <c r="L98" s="404">
        <f>L99+L102+L106+L111+L116</f>
        <v>670.00162000000012</v>
      </c>
      <c r="M98" s="404">
        <f t="shared" si="95"/>
        <v>0</v>
      </c>
      <c r="N98" s="404">
        <f t="shared" si="95"/>
        <v>0</v>
      </c>
      <c r="O98" s="404">
        <f t="shared" si="95"/>
        <v>312.28692845528451</v>
      </c>
      <c r="P98" s="404">
        <f t="shared" si="67"/>
        <v>669.54984000000002</v>
      </c>
      <c r="Q98" s="404">
        <f t="shared" si="95"/>
        <v>0</v>
      </c>
      <c r="R98" s="404">
        <f t="shared" si="95"/>
        <v>0</v>
      </c>
      <c r="S98" s="404">
        <f t="shared" si="95"/>
        <v>669.54984000000002</v>
      </c>
      <c r="T98" s="404">
        <f t="shared" si="95"/>
        <v>0</v>
      </c>
      <c r="U98" s="404">
        <f t="shared" si="95"/>
        <v>0</v>
      </c>
      <c r="V98" s="174"/>
    </row>
    <row r="99" spans="1:22" x14ac:dyDescent="0.25">
      <c r="A99" s="469"/>
      <c r="B99" s="74" t="s">
        <v>63</v>
      </c>
      <c r="C99" s="404">
        <f>SUM(D99:H99)</f>
        <v>205</v>
      </c>
      <c r="D99" s="402">
        <f>D100+D101</f>
        <v>0</v>
      </c>
      <c r="E99" s="402">
        <f t="shared" ref="E99:H99" si="96">E100+E101</f>
        <v>0</v>
      </c>
      <c r="F99" s="402">
        <f>F100+F101</f>
        <v>205</v>
      </c>
      <c r="G99" s="402">
        <f t="shared" si="96"/>
        <v>0</v>
      </c>
      <c r="H99" s="402">
        <f t="shared" si="96"/>
        <v>0</v>
      </c>
      <c r="I99" s="404">
        <f t="shared" si="66"/>
        <v>116.21162</v>
      </c>
      <c r="J99" s="21">
        <f>J100+J101</f>
        <v>0</v>
      </c>
      <c r="K99" s="21">
        <f t="shared" ref="K99:N99" si="97">K100+K101</f>
        <v>0</v>
      </c>
      <c r="L99" s="21">
        <f t="shared" si="97"/>
        <v>116.21162</v>
      </c>
      <c r="M99" s="21">
        <f t="shared" si="97"/>
        <v>0</v>
      </c>
      <c r="N99" s="21">
        <f t="shared" si="97"/>
        <v>0</v>
      </c>
      <c r="O99" s="182">
        <f>(I99/C99)*100</f>
        <v>56.688595121951209</v>
      </c>
      <c r="P99" s="404">
        <f t="shared" si="67"/>
        <v>116.21</v>
      </c>
      <c r="Q99" s="21">
        <f>Q100+Q101</f>
        <v>0</v>
      </c>
      <c r="R99" s="21">
        <f t="shared" ref="R99:U99" si="98">R100+R101</f>
        <v>0</v>
      </c>
      <c r="S99" s="21">
        <f t="shared" si="98"/>
        <v>116.21</v>
      </c>
      <c r="T99" s="21">
        <f t="shared" si="98"/>
        <v>0</v>
      </c>
      <c r="U99" s="21">
        <f t="shared" si="98"/>
        <v>0</v>
      </c>
    </row>
    <row r="100" spans="1:22" ht="19.5" customHeight="1" x14ac:dyDescent="0.25">
      <c r="A100" s="469"/>
      <c r="B100" s="22" t="s">
        <v>64</v>
      </c>
      <c r="C100" s="404">
        <f t="shared" ref="C100:C120" si="99">SUM(D100:H100)</f>
        <v>5</v>
      </c>
      <c r="D100" s="170">
        <v>0</v>
      </c>
      <c r="E100" s="170">
        <v>0</v>
      </c>
      <c r="F100" s="402">
        <v>5</v>
      </c>
      <c r="G100" s="170">
        <v>0</v>
      </c>
      <c r="H100" s="170">
        <v>0</v>
      </c>
      <c r="I100" s="404">
        <f t="shared" si="66"/>
        <v>5</v>
      </c>
      <c r="J100" s="402">
        <v>0</v>
      </c>
      <c r="K100" s="402">
        <v>0</v>
      </c>
      <c r="L100" s="206">
        <v>5</v>
      </c>
      <c r="M100" s="402">
        <v>0</v>
      </c>
      <c r="N100" s="402">
        <v>0</v>
      </c>
      <c r="O100" s="117">
        <f t="shared" ref="O100:O101" si="100">(I100/C100)*100</f>
        <v>100</v>
      </c>
      <c r="P100" s="404">
        <f t="shared" si="67"/>
        <v>5</v>
      </c>
      <c r="Q100" s="402">
        <v>0</v>
      </c>
      <c r="R100" s="402">
        <v>0</v>
      </c>
      <c r="S100" s="402">
        <v>5</v>
      </c>
      <c r="T100" s="402">
        <v>0</v>
      </c>
      <c r="U100" s="402">
        <v>0</v>
      </c>
    </row>
    <row r="101" spans="1:22" ht="21.75" customHeight="1" x14ac:dyDescent="0.25">
      <c r="A101" s="469"/>
      <c r="B101" s="75" t="s">
        <v>1025</v>
      </c>
      <c r="C101" s="404">
        <f t="shared" si="99"/>
        <v>200</v>
      </c>
      <c r="D101" s="170">
        <v>0</v>
      </c>
      <c r="E101" s="170">
        <v>0</v>
      </c>
      <c r="F101" s="402">
        <v>200</v>
      </c>
      <c r="G101" s="170">
        <v>0</v>
      </c>
      <c r="H101" s="170">
        <v>0</v>
      </c>
      <c r="I101" s="404">
        <f t="shared" si="66"/>
        <v>111.21162</v>
      </c>
      <c r="J101" s="402">
        <v>0</v>
      </c>
      <c r="K101" s="402">
        <v>0</v>
      </c>
      <c r="L101" s="206">
        <v>111.21162</v>
      </c>
      <c r="M101" s="402">
        <v>0</v>
      </c>
      <c r="N101" s="402">
        <v>0</v>
      </c>
      <c r="O101" s="117">
        <f t="shared" si="100"/>
        <v>55.605809999999998</v>
      </c>
      <c r="P101" s="404">
        <f t="shared" si="67"/>
        <v>111.21</v>
      </c>
      <c r="Q101" s="402">
        <v>0</v>
      </c>
      <c r="R101" s="402">
        <v>0</v>
      </c>
      <c r="S101" s="402">
        <v>111.21</v>
      </c>
      <c r="T101" s="402">
        <v>0</v>
      </c>
      <c r="U101" s="402">
        <v>0</v>
      </c>
    </row>
    <row r="102" spans="1:22" ht="37.5" customHeight="1" x14ac:dyDescent="0.25">
      <c r="A102" s="469"/>
      <c r="B102" s="159" t="s">
        <v>65</v>
      </c>
      <c r="C102" s="404">
        <f t="shared" si="99"/>
        <v>395</v>
      </c>
      <c r="D102" s="170">
        <v>0</v>
      </c>
      <c r="E102" s="170">
        <v>0</v>
      </c>
      <c r="F102" s="402">
        <f>F103+F104+F105</f>
        <v>395</v>
      </c>
      <c r="G102" s="170">
        <v>0</v>
      </c>
      <c r="H102" s="170">
        <v>0</v>
      </c>
      <c r="I102" s="404">
        <f t="shared" si="66"/>
        <v>230.83</v>
      </c>
      <c r="J102" s="402">
        <f t="shared" ref="J102:U102" si="101">J103+J104+J105</f>
        <v>0</v>
      </c>
      <c r="K102" s="21">
        <f t="shared" si="101"/>
        <v>0</v>
      </c>
      <c r="L102" s="21">
        <f t="shared" si="101"/>
        <v>230.83</v>
      </c>
      <c r="M102" s="21">
        <f t="shared" si="101"/>
        <v>0</v>
      </c>
      <c r="N102" s="21">
        <f t="shared" si="101"/>
        <v>0</v>
      </c>
      <c r="O102" s="21">
        <f t="shared" si="101"/>
        <v>100.2</v>
      </c>
      <c r="P102" s="404">
        <f t="shared" si="67"/>
        <v>230.83</v>
      </c>
      <c r="Q102" s="21">
        <f t="shared" si="101"/>
        <v>0</v>
      </c>
      <c r="R102" s="21">
        <f t="shared" si="101"/>
        <v>0</v>
      </c>
      <c r="S102" s="21">
        <f t="shared" si="101"/>
        <v>230.83</v>
      </c>
      <c r="T102" s="21">
        <f t="shared" si="101"/>
        <v>0</v>
      </c>
      <c r="U102" s="21">
        <f t="shared" si="101"/>
        <v>0</v>
      </c>
    </row>
    <row r="103" spans="1:22" ht="20.25" customHeight="1" x14ac:dyDescent="0.25">
      <c r="A103" s="469"/>
      <c r="B103" s="22" t="s">
        <v>66</v>
      </c>
      <c r="C103" s="404">
        <f t="shared" si="99"/>
        <v>25</v>
      </c>
      <c r="D103" s="170">
        <v>0</v>
      </c>
      <c r="E103" s="170">
        <v>0</v>
      </c>
      <c r="F103" s="402">
        <v>25</v>
      </c>
      <c r="G103" s="170">
        <v>0</v>
      </c>
      <c r="H103" s="170">
        <v>0</v>
      </c>
      <c r="I103" s="404">
        <f t="shared" si="66"/>
        <v>25.05</v>
      </c>
      <c r="J103" s="402">
        <v>0</v>
      </c>
      <c r="K103" s="402">
        <v>0</v>
      </c>
      <c r="L103" s="402">
        <v>25.05</v>
      </c>
      <c r="M103" s="402">
        <v>0</v>
      </c>
      <c r="N103" s="402">
        <v>0</v>
      </c>
      <c r="O103" s="117">
        <f t="shared" ref="O103" si="102">(I103/C103)*100</f>
        <v>100.2</v>
      </c>
      <c r="P103" s="404">
        <f t="shared" si="67"/>
        <v>25.05</v>
      </c>
      <c r="Q103" s="402">
        <v>0</v>
      </c>
      <c r="R103" s="402">
        <v>0</v>
      </c>
      <c r="S103" s="402">
        <v>25.05</v>
      </c>
      <c r="T103" s="402">
        <v>0</v>
      </c>
      <c r="U103" s="402">
        <v>0</v>
      </c>
    </row>
    <row r="104" spans="1:22" ht="56.25" customHeight="1" x14ac:dyDescent="0.25">
      <c r="A104" s="469"/>
      <c r="B104" s="22" t="s">
        <v>1026</v>
      </c>
      <c r="C104" s="404">
        <f t="shared" si="99"/>
        <v>350</v>
      </c>
      <c r="D104" s="170">
        <v>0</v>
      </c>
      <c r="E104" s="170">
        <v>0</v>
      </c>
      <c r="F104" s="402">
        <v>350</v>
      </c>
      <c r="G104" s="170">
        <v>0</v>
      </c>
      <c r="H104" s="170">
        <v>0</v>
      </c>
      <c r="I104" s="404">
        <f t="shared" si="66"/>
        <v>205.78</v>
      </c>
      <c r="J104" s="402">
        <v>0</v>
      </c>
      <c r="K104" s="402">
        <v>0</v>
      </c>
      <c r="L104" s="402">
        <v>205.78</v>
      </c>
      <c r="M104" s="402">
        <v>0</v>
      </c>
      <c r="N104" s="402">
        <v>0</v>
      </c>
      <c r="O104" s="117"/>
      <c r="P104" s="404">
        <f t="shared" si="67"/>
        <v>205.78</v>
      </c>
      <c r="Q104" s="402">
        <v>0</v>
      </c>
      <c r="R104" s="402">
        <v>0</v>
      </c>
      <c r="S104" s="402">
        <v>205.78</v>
      </c>
      <c r="T104" s="402">
        <v>0</v>
      </c>
      <c r="U104" s="402">
        <v>0</v>
      </c>
    </row>
    <row r="105" spans="1:22" ht="31.5" x14ac:dyDescent="0.25">
      <c r="A105" s="469"/>
      <c r="B105" s="22" t="s">
        <v>67</v>
      </c>
      <c r="C105" s="404">
        <f t="shared" si="99"/>
        <v>20</v>
      </c>
      <c r="D105" s="170">
        <v>0</v>
      </c>
      <c r="E105" s="170">
        <v>0</v>
      </c>
      <c r="F105" s="402">
        <v>20</v>
      </c>
      <c r="G105" s="170">
        <v>0</v>
      </c>
      <c r="H105" s="170">
        <v>0</v>
      </c>
      <c r="I105" s="404">
        <f t="shared" si="66"/>
        <v>0</v>
      </c>
      <c r="J105" s="402"/>
      <c r="K105" s="402"/>
      <c r="L105" s="402">
        <v>0</v>
      </c>
      <c r="M105" s="402"/>
      <c r="N105" s="402"/>
      <c r="O105" s="117"/>
      <c r="P105" s="404">
        <f t="shared" si="67"/>
        <v>0</v>
      </c>
      <c r="Q105" s="402"/>
      <c r="R105" s="402"/>
      <c r="S105" s="402">
        <v>0</v>
      </c>
      <c r="T105" s="402"/>
      <c r="U105" s="402"/>
    </row>
    <row r="106" spans="1:22" ht="31.5" x14ac:dyDescent="0.25">
      <c r="A106" s="469"/>
      <c r="B106" s="159" t="s">
        <v>68</v>
      </c>
      <c r="C106" s="404">
        <f t="shared" si="99"/>
        <v>64</v>
      </c>
      <c r="D106" s="402">
        <f>D107+D108+D109+D110</f>
        <v>0</v>
      </c>
      <c r="E106" s="402">
        <f t="shared" ref="E106:H106" si="103">E107+E108+E109+E110</f>
        <v>0</v>
      </c>
      <c r="F106" s="402">
        <f t="shared" si="103"/>
        <v>64</v>
      </c>
      <c r="G106" s="402">
        <f t="shared" si="103"/>
        <v>0</v>
      </c>
      <c r="H106" s="402">
        <f t="shared" si="103"/>
        <v>0</v>
      </c>
      <c r="I106" s="404">
        <f t="shared" si="66"/>
        <v>30</v>
      </c>
      <c r="J106" s="21">
        <f t="shared" ref="J106:U106" si="104">J107+J108+J109+J110</f>
        <v>0</v>
      </c>
      <c r="K106" s="21">
        <f t="shared" si="104"/>
        <v>0</v>
      </c>
      <c r="L106" s="21">
        <f t="shared" si="104"/>
        <v>30</v>
      </c>
      <c r="M106" s="21">
        <f t="shared" si="104"/>
        <v>0</v>
      </c>
      <c r="N106" s="21">
        <f t="shared" si="104"/>
        <v>0</v>
      </c>
      <c r="O106" s="21">
        <f t="shared" si="104"/>
        <v>83.333333333333343</v>
      </c>
      <c r="P106" s="404">
        <f t="shared" si="67"/>
        <v>30</v>
      </c>
      <c r="Q106" s="21">
        <f t="shared" si="104"/>
        <v>0</v>
      </c>
      <c r="R106" s="21">
        <f t="shared" si="104"/>
        <v>0</v>
      </c>
      <c r="S106" s="21">
        <f t="shared" si="104"/>
        <v>30</v>
      </c>
      <c r="T106" s="21">
        <f t="shared" si="104"/>
        <v>0</v>
      </c>
      <c r="U106" s="21">
        <f t="shared" si="104"/>
        <v>0</v>
      </c>
    </row>
    <row r="107" spans="1:22" ht="31.5" x14ac:dyDescent="0.25">
      <c r="A107" s="469"/>
      <c r="B107" s="22" t="s">
        <v>69</v>
      </c>
      <c r="C107" s="404">
        <f t="shared" si="99"/>
        <v>40</v>
      </c>
      <c r="D107" s="170">
        <v>0</v>
      </c>
      <c r="E107" s="170">
        <v>0</v>
      </c>
      <c r="F107" s="402">
        <v>40</v>
      </c>
      <c r="G107" s="170">
        <v>0</v>
      </c>
      <c r="H107" s="170">
        <v>0</v>
      </c>
      <c r="I107" s="404">
        <f t="shared" si="66"/>
        <v>20</v>
      </c>
      <c r="J107" s="402">
        <v>0</v>
      </c>
      <c r="K107" s="402">
        <v>0</v>
      </c>
      <c r="L107" s="402">
        <v>20</v>
      </c>
      <c r="M107" s="402">
        <v>0</v>
      </c>
      <c r="N107" s="402">
        <v>0</v>
      </c>
      <c r="O107" s="117"/>
      <c r="P107" s="404">
        <f t="shared" si="67"/>
        <v>20</v>
      </c>
      <c r="Q107" s="402">
        <v>0</v>
      </c>
      <c r="R107" s="402">
        <v>0</v>
      </c>
      <c r="S107" s="402">
        <v>20</v>
      </c>
      <c r="T107" s="402">
        <v>0</v>
      </c>
      <c r="U107" s="402">
        <v>0</v>
      </c>
    </row>
    <row r="108" spans="1:22" ht="47.25" x14ac:dyDescent="0.25">
      <c r="A108" s="469"/>
      <c r="B108" s="22" t="s">
        <v>70</v>
      </c>
      <c r="C108" s="404">
        <f t="shared" si="99"/>
        <v>0</v>
      </c>
      <c r="D108" s="170">
        <v>0</v>
      </c>
      <c r="E108" s="170">
        <v>0</v>
      </c>
      <c r="F108" s="402">
        <v>0</v>
      </c>
      <c r="G108" s="170">
        <v>0</v>
      </c>
      <c r="H108" s="170">
        <v>0</v>
      </c>
      <c r="I108" s="404">
        <f t="shared" si="66"/>
        <v>0</v>
      </c>
      <c r="J108" s="402">
        <v>0</v>
      </c>
      <c r="K108" s="402">
        <v>0</v>
      </c>
      <c r="L108" s="402">
        <v>0</v>
      </c>
      <c r="M108" s="402">
        <v>0</v>
      </c>
      <c r="N108" s="402">
        <v>0</v>
      </c>
      <c r="O108" s="117"/>
      <c r="P108" s="404">
        <f t="shared" si="67"/>
        <v>0</v>
      </c>
      <c r="Q108" s="402">
        <v>0</v>
      </c>
      <c r="R108" s="402">
        <v>0</v>
      </c>
      <c r="S108" s="402">
        <v>0</v>
      </c>
      <c r="T108" s="402">
        <v>0</v>
      </c>
      <c r="U108" s="402">
        <v>0</v>
      </c>
    </row>
    <row r="109" spans="1:22" ht="31.5" x14ac:dyDescent="0.25">
      <c r="A109" s="469"/>
      <c r="B109" s="22" t="s">
        <v>71</v>
      </c>
      <c r="C109" s="404">
        <f t="shared" si="99"/>
        <v>12</v>
      </c>
      <c r="D109" s="170">
        <v>0</v>
      </c>
      <c r="E109" s="170">
        <v>0</v>
      </c>
      <c r="F109" s="402">
        <v>12</v>
      </c>
      <c r="G109" s="170">
        <v>0</v>
      </c>
      <c r="H109" s="170">
        <v>0</v>
      </c>
      <c r="I109" s="404">
        <f t="shared" si="66"/>
        <v>0</v>
      </c>
      <c r="J109" s="402">
        <v>0</v>
      </c>
      <c r="K109" s="402">
        <v>0</v>
      </c>
      <c r="L109" s="402">
        <v>0</v>
      </c>
      <c r="M109" s="402">
        <v>0</v>
      </c>
      <c r="N109" s="402">
        <v>0</v>
      </c>
      <c r="O109" s="117"/>
      <c r="P109" s="404">
        <f t="shared" si="67"/>
        <v>0</v>
      </c>
      <c r="Q109" s="402">
        <v>0</v>
      </c>
      <c r="R109" s="402">
        <v>0</v>
      </c>
      <c r="S109" s="402">
        <v>0</v>
      </c>
      <c r="T109" s="402">
        <v>0</v>
      </c>
      <c r="U109" s="402">
        <v>0</v>
      </c>
    </row>
    <row r="110" spans="1:22" ht="41.25" customHeight="1" x14ac:dyDescent="0.25">
      <c r="A110" s="469"/>
      <c r="B110" s="22" t="s">
        <v>72</v>
      </c>
      <c r="C110" s="404">
        <f t="shared" si="99"/>
        <v>12</v>
      </c>
      <c r="D110" s="170">
        <v>0</v>
      </c>
      <c r="E110" s="170">
        <v>0</v>
      </c>
      <c r="F110" s="402">
        <v>12</v>
      </c>
      <c r="G110" s="170">
        <v>0</v>
      </c>
      <c r="H110" s="170">
        <v>0</v>
      </c>
      <c r="I110" s="404">
        <f t="shared" si="66"/>
        <v>10</v>
      </c>
      <c r="J110" s="402">
        <v>0</v>
      </c>
      <c r="K110" s="402">
        <v>0</v>
      </c>
      <c r="L110" s="402">
        <v>10</v>
      </c>
      <c r="M110" s="402">
        <v>0</v>
      </c>
      <c r="N110" s="402">
        <v>0</v>
      </c>
      <c r="O110" s="117">
        <f t="shared" ref="O110" si="105">(I110/C110)*100</f>
        <v>83.333333333333343</v>
      </c>
      <c r="P110" s="404">
        <f t="shared" si="67"/>
        <v>10</v>
      </c>
      <c r="Q110" s="402">
        <v>0</v>
      </c>
      <c r="R110" s="402">
        <v>0</v>
      </c>
      <c r="S110" s="402">
        <v>10</v>
      </c>
      <c r="T110" s="402">
        <v>0</v>
      </c>
      <c r="U110" s="402">
        <v>0</v>
      </c>
    </row>
    <row r="111" spans="1:22" ht="31.5" x14ac:dyDescent="0.25">
      <c r="A111" s="469"/>
      <c r="B111" s="159" t="s">
        <v>73</v>
      </c>
      <c r="C111" s="404">
        <f t="shared" si="99"/>
        <v>239</v>
      </c>
      <c r="D111" s="170">
        <v>0</v>
      </c>
      <c r="E111" s="170">
        <v>0</v>
      </c>
      <c r="F111" s="402">
        <f t="shared" ref="F111:U111" si="106">F112+F113+F114+F115</f>
        <v>239</v>
      </c>
      <c r="G111" s="170">
        <v>0</v>
      </c>
      <c r="H111" s="170">
        <v>0</v>
      </c>
      <c r="I111" s="404">
        <f t="shared" si="66"/>
        <v>144.13</v>
      </c>
      <c r="J111" s="21">
        <f t="shared" si="106"/>
        <v>0</v>
      </c>
      <c r="K111" s="21">
        <f t="shared" si="106"/>
        <v>0</v>
      </c>
      <c r="L111" s="21">
        <f t="shared" si="106"/>
        <v>144.13</v>
      </c>
      <c r="M111" s="21">
        <f t="shared" si="106"/>
        <v>0</v>
      </c>
      <c r="N111" s="21">
        <f t="shared" si="106"/>
        <v>0</v>
      </c>
      <c r="O111" s="21">
        <f t="shared" si="106"/>
        <v>72.064999999999998</v>
      </c>
      <c r="P111" s="404">
        <f t="shared" si="67"/>
        <v>143.67984000000001</v>
      </c>
      <c r="Q111" s="21">
        <f t="shared" si="106"/>
        <v>0</v>
      </c>
      <c r="R111" s="21">
        <f t="shared" si="106"/>
        <v>0</v>
      </c>
      <c r="S111" s="21">
        <f t="shared" si="106"/>
        <v>143.67984000000001</v>
      </c>
      <c r="T111" s="21">
        <f t="shared" si="106"/>
        <v>0</v>
      </c>
      <c r="U111" s="21">
        <f t="shared" si="106"/>
        <v>0</v>
      </c>
    </row>
    <row r="112" spans="1:22" ht="29.25" customHeight="1" x14ac:dyDescent="0.25">
      <c r="A112" s="469"/>
      <c r="B112" s="7" t="s">
        <v>74</v>
      </c>
      <c r="C112" s="404">
        <f t="shared" si="99"/>
        <v>200</v>
      </c>
      <c r="D112" s="170">
        <v>0</v>
      </c>
      <c r="E112" s="170">
        <v>0</v>
      </c>
      <c r="F112" s="402">
        <v>200</v>
      </c>
      <c r="G112" s="170">
        <v>0</v>
      </c>
      <c r="H112" s="170">
        <v>0</v>
      </c>
      <c r="I112" s="404">
        <f t="shared" si="66"/>
        <v>144.13</v>
      </c>
      <c r="J112" s="402">
        <v>0</v>
      </c>
      <c r="K112" s="402">
        <v>0</v>
      </c>
      <c r="L112" s="402">
        <v>144.13</v>
      </c>
      <c r="M112" s="402">
        <v>0</v>
      </c>
      <c r="N112" s="402">
        <v>0</v>
      </c>
      <c r="O112" s="117">
        <f t="shared" ref="O112" si="107">(I112/C112)*100</f>
        <v>72.064999999999998</v>
      </c>
      <c r="P112" s="404">
        <f t="shared" si="67"/>
        <v>143.67984000000001</v>
      </c>
      <c r="Q112" s="402">
        <v>0</v>
      </c>
      <c r="R112" s="402">
        <v>0</v>
      </c>
      <c r="S112" s="402">
        <v>143.67984000000001</v>
      </c>
      <c r="T112" s="402">
        <v>0</v>
      </c>
      <c r="U112" s="402">
        <v>0</v>
      </c>
    </row>
    <row r="113" spans="1:22" ht="50.25" customHeight="1" x14ac:dyDescent="0.25">
      <c r="A113" s="469"/>
      <c r="B113" s="7" t="s">
        <v>75</v>
      </c>
      <c r="C113" s="404">
        <f t="shared" si="99"/>
        <v>15</v>
      </c>
      <c r="D113" s="170">
        <v>0</v>
      </c>
      <c r="E113" s="170">
        <v>0</v>
      </c>
      <c r="F113" s="117">
        <v>15</v>
      </c>
      <c r="G113" s="170">
        <v>0</v>
      </c>
      <c r="H113" s="170">
        <v>0</v>
      </c>
      <c r="I113" s="404">
        <f t="shared" si="66"/>
        <v>0</v>
      </c>
      <c r="J113" s="402">
        <v>0</v>
      </c>
      <c r="K113" s="402">
        <v>0</v>
      </c>
      <c r="L113" s="117">
        <v>0</v>
      </c>
      <c r="M113" s="402">
        <v>0</v>
      </c>
      <c r="N113" s="402">
        <v>0</v>
      </c>
      <c r="O113" s="171"/>
      <c r="P113" s="404">
        <f t="shared" si="67"/>
        <v>0</v>
      </c>
      <c r="Q113" s="402">
        <v>0</v>
      </c>
      <c r="R113" s="402">
        <v>0</v>
      </c>
      <c r="S113" s="117">
        <v>0</v>
      </c>
      <c r="T113" s="402">
        <v>0</v>
      </c>
      <c r="U113" s="402">
        <v>0</v>
      </c>
    </row>
    <row r="114" spans="1:22" ht="20.25" customHeight="1" x14ac:dyDescent="0.25">
      <c r="A114" s="469"/>
      <c r="B114" s="22" t="s">
        <v>76</v>
      </c>
      <c r="C114" s="404">
        <f t="shared" si="99"/>
        <v>12</v>
      </c>
      <c r="D114" s="170">
        <v>0</v>
      </c>
      <c r="E114" s="170">
        <v>0</v>
      </c>
      <c r="F114" s="117">
        <v>12</v>
      </c>
      <c r="G114" s="170">
        <v>0</v>
      </c>
      <c r="H114" s="170">
        <v>0</v>
      </c>
      <c r="I114" s="404">
        <f t="shared" si="66"/>
        <v>0</v>
      </c>
      <c r="J114" s="402">
        <v>0</v>
      </c>
      <c r="K114" s="402">
        <v>0</v>
      </c>
      <c r="L114" s="117">
        <v>0</v>
      </c>
      <c r="M114" s="402">
        <v>0</v>
      </c>
      <c r="N114" s="402">
        <v>0</v>
      </c>
      <c r="O114" s="171"/>
      <c r="P114" s="404">
        <f t="shared" si="67"/>
        <v>0</v>
      </c>
      <c r="Q114" s="402">
        <v>0</v>
      </c>
      <c r="R114" s="402">
        <v>0</v>
      </c>
      <c r="S114" s="117">
        <v>0</v>
      </c>
      <c r="T114" s="402">
        <v>0</v>
      </c>
      <c r="U114" s="402">
        <v>0</v>
      </c>
    </row>
    <row r="115" spans="1:22" ht="31.5" x14ac:dyDescent="0.25">
      <c r="A115" s="469"/>
      <c r="B115" s="22" t="s">
        <v>77</v>
      </c>
      <c r="C115" s="404">
        <f t="shared" si="99"/>
        <v>12</v>
      </c>
      <c r="D115" s="170">
        <v>0</v>
      </c>
      <c r="E115" s="170">
        <v>0</v>
      </c>
      <c r="F115" s="117">
        <v>12</v>
      </c>
      <c r="G115" s="170">
        <v>0</v>
      </c>
      <c r="H115" s="170">
        <v>0</v>
      </c>
      <c r="I115" s="404">
        <f t="shared" si="66"/>
        <v>0</v>
      </c>
      <c r="J115" s="402">
        <v>0</v>
      </c>
      <c r="K115" s="402">
        <v>0</v>
      </c>
      <c r="L115" s="117">
        <v>0</v>
      </c>
      <c r="M115" s="402">
        <v>0</v>
      </c>
      <c r="N115" s="402">
        <v>0</v>
      </c>
      <c r="O115" s="171"/>
      <c r="P115" s="404">
        <f t="shared" si="67"/>
        <v>0</v>
      </c>
      <c r="Q115" s="402">
        <v>0</v>
      </c>
      <c r="R115" s="402">
        <v>0</v>
      </c>
      <c r="S115" s="117">
        <v>0</v>
      </c>
      <c r="T115" s="402">
        <v>0</v>
      </c>
      <c r="U115" s="402">
        <v>0</v>
      </c>
    </row>
    <row r="116" spans="1:22" ht="19.5" customHeight="1" x14ac:dyDescent="0.25">
      <c r="A116" s="469"/>
      <c r="B116" s="159" t="s">
        <v>78</v>
      </c>
      <c r="C116" s="404">
        <f t="shared" si="99"/>
        <v>62</v>
      </c>
      <c r="D116" s="402">
        <f>D117+D118+D119+D120</f>
        <v>0</v>
      </c>
      <c r="E116" s="402">
        <f t="shared" ref="E116:U116" si="108">E117+E118+E119+E120</f>
        <v>0</v>
      </c>
      <c r="F116" s="402">
        <f t="shared" si="108"/>
        <v>62</v>
      </c>
      <c r="G116" s="402">
        <f t="shared" si="108"/>
        <v>0</v>
      </c>
      <c r="H116" s="402">
        <f t="shared" si="108"/>
        <v>0</v>
      </c>
      <c r="I116" s="404">
        <f t="shared" si="66"/>
        <v>148.83000000000001</v>
      </c>
      <c r="J116" s="21">
        <f t="shared" si="108"/>
        <v>0</v>
      </c>
      <c r="K116" s="21">
        <f t="shared" si="108"/>
        <v>0</v>
      </c>
      <c r="L116" s="21">
        <f>L117+L118+L119+L120</f>
        <v>148.83000000000001</v>
      </c>
      <c r="M116" s="21">
        <f t="shared" si="108"/>
        <v>0</v>
      </c>
      <c r="N116" s="21">
        <f t="shared" si="108"/>
        <v>0</v>
      </c>
      <c r="O116" s="21">
        <f t="shared" si="108"/>
        <v>0</v>
      </c>
      <c r="P116" s="404">
        <f t="shared" si="67"/>
        <v>148.83000000000001</v>
      </c>
      <c r="Q116" s="21">
        <f t="shared" si="108"/>
        <v>0</v>
      </c>
      <c r="R116" s="21">
        <f t="shared" si="108"/>
        <v>0</v>
      </c>
      <c r="S116" s="21">
        <f t="shared" si="108"/>
        <v>148.83000000000001</v>
      </c>
      <c r="T116" s="21">
        <f t="shared" si="108"/>
        <v>0</v>
      </c>
      <c r="U116" s="21">
        <f t="shared" si="108"/>
        <v>0</v>
      </c>
    </row>
    <row r="117" spans="1:22" ht="31.5" x14ac:dyDescent="0.25">
      <c r="A117" s="469"/>
      <c r="B117" s="76" t="s">
        <v>79</v>
      </c>
      <c r="C117" s="404">
        <f t="shared" si="99"/>
        <v>12</v>
      </c>
      <c r="D117" s="170">
        <v>0</v>
      </c>
      <c r="E117" s="170">
        <v>0</v>
      </c>
      <c r="F117" s="402">
        <v>12</v>
      </c>
      <c r="G117" s="170">
        <v>0</v>
      </c>
      <c r="H117" s="170">
        <v>0</v>
      </c>
      <c r="I117" s="404">
        <f t="shared" si="66"/>
        <v>0</v>
      </c>
      <c r="J117" s="402"/>
      <c r="K117" s="402"/>
      <c r="L117" s="402">
        <v>0</v>
      </c>
      <c r="M117" s="402">
        <v>0</v>
      </c>
      <c r="N117" s="402">
        <v>0</v>
      </c>
      <c r="O117" s="117">
        <f t="shared" ref="O117" si="109">(I117/C117)*100</f>
        <v>0</v>
      </c>
      <c r="P117" s="404">
        <f t="shared" si="67"/>
        <v>0</v>
      </c>
      <c r="Q117" s="402">
        <v>0</v>
      </c>
      <c r="R117" s="402">
        <v>0</v>
      </c>
      <c r="S117" s="402">
        <v>0</v>
      </c>
      <c r="T117" s="402">
        <v>0</v>
      </c>
      <c r="U117" s="402">
        <v>0</v>
      </c>
    </row>
    <row r="118" spans="1:22" ht="31.5" x14ac:dyDescent="0.25">
      <c r="A118" s="469"/>
      <c r="B118" s="22" t="s">
        <v>80</v>
      </c>
      <c r="C118" s="404">
        <f t="shared" si="99"/>
        <v>20</v>
      </c>
      <c r="D118" s="170">
        <v>0</v>
      </c>
      <c r="E118" s="170">
        <v>0</v>
      </c>
      <c r="F118" s="131">
        <v>20</v>
      </c>
      <c r="G118" s="170">
        <v>0</v>
      </c>
      <c r="H118" s="170">
        <v>0</v>
      </c>
      <c r="I118" s="404">
        <f t="shared" si="66"/>
        <v>106.51</v>
      </c>
      <c r="J118" s="402">
        <v>0</v>
      </c>
      <c r="K118" s="402">
        <v>0</v>
      </c>
      <c r="L118" s="117">
        <v>106.51</v>
      </c>
      <c r="M118" s="402">
        <v>0</v>
      </c>
      <c r="N118" s="402">
        <v>0</v>
      </c>
      <c r="O118" s="117"/>
      <c r="P118" s="404">
        <f t="shared" si="67"/>
        <v>106.51</v>
      </c>
      <c r="Q118" s="402">
        <v>0</v>
      </c>
      <c r="R118" s="402">
        <v>0</v>
      </c>
      <c r="S118" s="117">
        <v>106.51</v>
      </c>
      <c r="T118" s="402">
        <v>0</v>
      </c>
      <c r="U118" s="402">
        <v>0</v>
      </c>
    </row>
    <row r="119" spans="1:22" ht="31.5" x14ac:dyDescent="0.25">
      <c r="A119" s="469"/>
      <c r="B119" s="22" t="s">
        <v>81</v>
      </c>
      <c r="C119" s="404">
        <f t="shared" si="99"/>
        <v>0</v>
      </c>
      <c r="D119" s="170">
        <v>0</v>
      </c>
      <c r="E119" s="170">
        <v>0</v>
      </c>
      <c r="F119" s="131">
        <v>0</v>
      </c>
      <c r="G119" s="170">
        <v>0</v>
      </c>
      <c r="H119" s="170">
        <v>0</v>
      </c>
      <c r="I119" s="404">
        <f t="shared" si="66"/>
        <v>0</v>
      </c>
      <c r="J119" s="402">
        <v>0</v>
      </c>
      <c r="K119" s="402">
        <v>0</v>
      </c>
      <c r="L119" s="117">
        <v>0</v>
      </c>
      <c r="M119" s="402">
        <v>0</v>
      </c>
      <c r="N119" s="402">
        <v>0</v>
      </c>
      <c r="O119" s="171"/>
      <c r="P119" s="404">
        <f t="shared" si="67"/>
        <v>0</v>
      </c>
      <c r="Q119" s="402">
        <v>0</v>
      </c>
      <c r="R119" s="402">
        <v>0</v>
      </c>
      <c r="S119" s="117">
        <v>0</v>
      </c>
      <c r="T119" s="402">
        <v>0</v>
      </c>
      <c r="U119" s="402">
        <v>0</v>
      </c>
    </row>
    <row r="120" spans="1:22" ht="47.25" x14ac:dyDescent="0.25">
      <c r="A120" s="469"/>
      <c r="B120" s="22" t="s">
        <v>82</v>
      </c>
      <c r="C120" s="404">
        <f t="shared" si="99"/>
        <v>30</v>
      </c>
      <c r="D120" s="170">
        <v>0</v>
      </c>
      <c r="E120" s="170">
        <v>0</v>
      </c>
      <c r="F120" s="131">
        <v>30</v>
      </c>
      <c r="G120" s="170">
        <v>0</v>
      </c>
      <c r="H120" s="170">
        <v>0</v>
      </c>
      <c r="I120" s="404">
        <f t="shared" si="66"/>
        <v>42.32</v>
      </c>
      <c r="J120" s="402">
        <v>0</v>
      </c>
      <c r="K120" s="402">
        <v>0</v>
      </c>
      <c r="L120" s="117">
        <v>42.32</v>
      </c>
      <c r="M120" s="402">
        <v>0</v>
      </c>
      <c r="N120" s="402">
        <v>0</v>
      </c>
      <c r="O120" s="171"/>
      <c r="P120" s="404">
        <f t="shared" si="67"/>
        <v>42.32</v>
      </c>
      <c r="Q120" s="402">
        <v>0</v>
      </c>
      <c r="R120" s="402">
        <v>0</v>
      </c>
      <c r="S120" s="117">
        <v>42.32</v>
      </c>
      <c r="T120" s="402">
        <v>0</v>
      </c>
      <c r="U120" s="402">
        <v>0</v>
      </c>
    </row>
    <row r="121" spans="1:22" x14ac:dyDescent="0.25">
      <c r="A121" s="52">
        <v>7</v>
      </c>
      <c r="B121" s="24" t="s">
        <v>83</v>
      </c>
      <c r="C121" s="404">
        <f>SUM(C122+C131+C134)</f>
        <v>1055</v>
      </c>
      <c r="D121" s="404">
        <f>D122+D130+D133</f>
        <v>0</v>
      </c>
      <c r="E121" s="404">
        <f>E122+E133</f>
        <v>0</v>
      </c>
      <c r="F121" s="404">
        <f>SUM(F122+F131+F134)</f>
        <v>1055</v>
      </c>
      <c r="G121" s="404">
        <f>SUM(G122+G131+G134)</f>
        <v>0</v>
      </c>
      <c r="H121" s="404">
        <f>H122+H130+H133</f>
        <v>0</v>
      </c>
      <c r="I121" s="404">
        <f t="shared" si="66"/>
        <v>1610</v>
      </c>
      <c r="J121" s="404">
        <f>J122+J131+J134</f>
        <v>0</v>
      </c>
      <c r="K121" s="404">
        <f>K122+K131+K134</f>
        <v>0</v>
      </c>
      <c r="L121" s="404">
        <f>L122+L131+L134</f>
        <v>1255</v>
      </c>
      <c r="M121" s="404">
        <f>M122+M131+M134</f>
        <v>355</v>
      </c>
      <c r="N121" s="404">
        <f>N122+N131+N134</f>
        <v>0</v>
      </c>
      <c r="O121" s="404" t="e">
        <f>O122+O130+O133</f>
        <v>#REF!</v>
      </c>
      <c r="P121" s="404">
        <f t="shared" si="67"/>
        <v>1698.7469700000001</v>
      </c>
      <c r="Q121" s="404">
        <f t="shared" ref="Q121:U121" si="110">Q122+Q131+Q134</f>
        <v>0</v>
      </c>
      <c r="R121" s="404">
        <f t="shared" si="110"/>
        <v>90</v>
      </c>
      <c r="S121" s="404">
        <f t="shared" si="110"/>
        <v>1253.7469700000001</v>
      </c>
      <c r="T121" s="404">
        <f t="shared" si="110"/>
        <v>355</v>
      </c>
      <c r="U121" s="404">
        <f t="shared" si="110"/>
        <v>0</v>
      </c>
      <c r="V121" s="174"/>
    </row>
    <row r="122" spans="1:22" x14ac:dyDescent="0.25">
      <c r="A122" s="469"/>
      <c r="B122" s="74" t="s">
        <v>84</v>
      </c>
      <c r="C122" s="404">
        <f>SUM(D122:H122)</f>
        <v>620</v>
      </c>
      <c r="D122" s="402">
        <f t="shared" ref="D122:E122" si="111">D123+D124+D125+D126+D127+D128+D130+D129</f>
        <v>0</v>
      </c>
      <c r="E122" s="402">
        <f t="shared" si="111"/>
        <v>0</v>
      </c>
      <c r="F122" s="402">
        <f>F123+F124+F125+F126+F127+F128+F130+F129</f>
        <v>620</v>
      </c>
      <c r="G122" s="402">
        <f t="shared" ref="G122:H122" si="112">G123+G124+G125+G126+G127+G128+G130+G129</f>
        <v>0</v>
      </c>
      <c r="H122" s="402">
        <f t="shared" si="112"/>
        <v>0</v>
      </c>
      <c r="I122" s="404">
        <f t="shared" si="66"/>
        <v>475</v>
      </c>
      <c r="J122" s="21">
        <f t="shared" ref="J122:N122" si="113">J123+J124+J125+J126+J127+J128+J130+J129</f>
        <v>0</v>
      </c>
      <c r="K122" s="21">
        <f t="shared" si="113"/>
        <v>0</v>
      </c>
      <c r="L122" s="21">
        <f>L123+L124+L125+L126+L127+L128+L130+L129</f>
        <v>475</v>
      </c>
      <c r="M122" s="21">
        <f t="shared" si="113"/>
        <v>0</v>
      </c>
      <c r="N122" s="21">
        <f t="shared" si="113"/>
        <v>0</v>
      </c>
      <c r="O122" s="21" t="e">
        <f>O123+O124+O125+O126+#REF!+O127+O128</f>
        <v>#REF!</v>
      </c>
      <c r="P122" s="404">
        <f t="shared" si="67"/>
        <v>473.74697000000003</v>
      </c>
      <c r="Q122" s="21">
        <f t="shared" ref="Q122:U122" si="114">Q123+Q124+Q125+Q126+Q127+Q128+Q130+Q129</f>
        <v>0</v>
      </c>
      <c r="R122" s="21">
        <f t="shared" si="114"/>
        <v>0</v>
      </c>
      <c r="S122" s="21">
        <f>S123+S124+S125+S126+S127+S128+S130+S129</f>
        <v>473.74697000000003</v>
      </c>
      <c r="T122" s="21">
        <f t="shared" si="114"/>
        <v>0</v>
      </c>
      <c r="U122" s="21">
        <f t="shared" si="114"/>
        <v>0</v>
      </c>
    </row>
    <row r="123" spans="1:22" ht="31.5" x14ac:dyDescent="0.25">
      <c r="A123" s="469"/>
      <c r="B123" s="28" t="s">
        <v>85</v>
      </c>
      <c r="C123" s="404">
        <f t="shared" ref="C123:C133" si="115">SUM(D123:H123)</f>
        <v>20</v>
      </c>
      <c r="D123" s="161">
        <v>0</v>
      </c>
      <c r="E123" s="161">
        <v>0</v>
      </c>
      <c r="F123" s="403">
        <v>20</v>
      </c>
      <c r="G123" s="161">
        <v>0</v>
      </c>
      <c r="H123" s="161">
        <v>0</v>
      </c>
      <c r="I123" s="404">
        <f t="shared" si="66"/>
        <v>15</v>
      </c>
      <c r="J123" s="402">
        <v>0</v>
      </c>
      <c r="K123" s="402">
        <v>0</v>
      </c>
      <c r="L123" s="402">
        <v>15</v>
      </c>
      <c r="M123" s="402">
        <v>0</v>
      </c>
      <c r="N123" s="402">
        <v>0</v>
      </c>
      <c r="O123" s="117">
        <f t="shared" ref="O123:O124" si="116">(I123/C123)*100</f>
        <v>75</v>
      </c>
      <c r="P123" s="404">
        <f t="shared" si="67"/>
        <v>15</v>
      </c>
      <c r="Q123" s="402">
        <v>0</v>
      </c>
      <c r="R123" s="402">
        <v>0</v>
      </c>
      <c r="S123" s="402">
        <v>15</v>
      </c>
      <c r="T123" s="402">
        <v>0</v>
      </c>
      <c r="U123" s="402">
        <v>0</v>
      </c>
    </row>
    <row r="124" spans="1:22" ht="31.5" x14ac:dyDescent="0.25">
      <c r="A124" s="469"/>
      <c r="B124" s="27" t="s">
        <v>86</v>
      </c>
      <c r="C124" s="404">
        <f t="shared" si="115"/>
        <v>180</v>
      </c>
      <c r="D124" s="161">
        <v>0</v>
      </c>
      <c r="E124" s="161">
        <v>0</v>
      </c>
      <c r="F124" s="403">
        <v>180</v>
      </c>
      <c r="G124" s="161">
        <v>0</v>
      </c>
      <c r="H124" s="161">
        <v>0</v>
      </c>
      <c r="I124" s="404">
        <f t="shared" si="66"/>
        <v>224.83224000000001</v>
      </c>
      <c r="J124" s="402">
        <v>0</v>
      </c>
      <c r="K124" s="402">
        <v>0</v>
      </c>
      <c r="L124" s="473">
        <v>224.83224000000001</v>
      </c>
      <c r="M124" s="402">
        <v>0</v>
      </c>
      <c r="N124" s="402">
        <v>0</v>
      </c>
      <c r="O124" s="117">
        <f t="shared" si="116"/>
        <v>124.9068</v>
      </c>
      <c r="P124" s="404">
        <f t="shared" si="67"/>
        <v>224.83224000000001</v>
      </c>
      <c r="Q124" s="402">
        <v>0</v>
      </c>
      <c r="R124" s="402">
        <v>0</v>
      </c>
      <c r="S124" s="473">
        <v>224.83224000000001</v>
      </c>
      <c r="T124" s="402">
        <v>0</v>
      </c>
      <c r="U124" s="402">
        <v>0</v>
      </c>
    </row>
    <row r="125" spans="1:22" ht="21.75" customHeight="1" x14ac:dyDescent="0.25">
      <c r="A125" s="469"/>
      <c r="B125" s="27" t="s">
        <v>87</v>
      </c>
      <c r="C125" s="404">
        <f t="shared" si="115"/>
        <v>50</v>
      </c>
      <c r="D125" s="161">
        <v>0</v>
      </c>
      <c r="E125" s="161">
        <v>0</v>
      </c>
      <c r="F125" s="403">
        <v>50</v>
      </c>
      <c r="G125" s="161">
        <v>0</v>
      </c>
      <c r="H125" s="161">
        <v>0</v>
      </c>
      <c r="I125" s="404">
        <f t="shared" si="66"/>
        <v>50</v>
      </c>
      <c r="J125" s="402">
        <v>0</v>
      </c>
      <c r="K125" s="402">
        <v>0</v>
      </c>
      <c r="L125" s="402">
        <v>50</v>
      </c>
      <c r="M125" s="402">
        <v>0</v>
      </c>
      <c r="N125" s="402">
        <v>0</v>
      </c>
      <c r="O125" s="117"/>
      <c r="P125" s="404">
        <f t="shared" si="67"/>
        <v>50</v>
      </c>
      <c r="Q125" s="402">
        <v>0</v>
      </c>
      <c r="R125" s="402">
        <v>0</v>
      </c>
      <c r="S125" s="402">
        <v>50</v>
      </c>
      <c r="T125" s="402">
        <v>0</v>
      </c>
      <c r="U125" s="402">
        <v>0</v>
      </c>
    </row>
    <row r="126" spans="1:22" ht="31.5" x14ac:dyDescent="0.25">
      <c r="A126" s="469"/>
      <c r="B126" s="27" t="s">
        <v>88</v>
      </c>
      <c r="C126" s="404">
        <f t="shared" si="115"/>
        <v>45</v>
      </c>
      <c r="D126" s="161">
        <v>0</v>
      </c>
      <c r="E126" s="161">
        <v>0</v>
      </c>
      <c r="F126" s="403">
        <v>45</v>
      </c>
      <c r="G126" s="161">
        <v>0</v>
      </c>
      <c r="H126" s="161">
        <v>0</v>
      </c>
      <c r="I126" s="404">
        <f t="shared" si="66"/>
        <v>45</v>
      </c>
      <c r="J126" s="402">
        <v>0</v>
      </c>
      <c r="K126" s="402">
        <v>0</v>
      </c>
      <c r="L126" s="402">
        <v>45</v>
      </c>
      <c r="M126" s="402">
        <v>0</v>
      </c>
      <c r="N126" s="402">
        <v>0</v>
      </c>
      <c r="O126" s="117"/>
      <c r="P126" s="404">
        <f t="shared" si="67"/>
        <v>45</v>
      </c>
      <c r="Q126" s="402">
        <v>0</v>
      </c>
      <c r="R126" s="402">
        <v>0</v>
      </c>
      <c r="S126" s="402">
        <v>45</v>
      </c>
      <c r="T126" s="402">
        <v>0</v>
      </c>
      <c r="U126" s="402">
        <v>0</v>
      </c>
    </row>
    <row r="127" spans="1:22" ht="31.5" x14ac:dyDescent="0.25">
      <c r="A127" s="469"/>
      <c r="B127" s="27" t="s">
        <v>89</v>
      </c>
      <c r="C127" s="404">
        <f t="shared" si="115"/>
        <v>0</v>
      </c>
      <c r="D127" s="161">
        <v>0</v>
      </c>
      <c r="E127" s="161">
        <v>0</v>
      </c>
      <c r="F127" s="403"/>
      <c r="G127" s="161">
        <v>0</v>
      </c>
      <c r="H127" s="161">
        <v>0</v>
      </c>
      <c r="I127" s="404">
        <f t="shared" si="66"/>
        <v>14</v>
      </c>
      <c r="J127" s="402">
        <v>0</v>
      </c>
      <c r="K127" s="402">
        <v>0</v>
      </c>
      <c r="L127" s="402">
        <v>14</v>
      </c>
      <c r="M127" s="402">
        <v>0</v>
      </c>
      <c r="N127" s="402">
        <v>0</v>
      </c>
      <c r="O127" s="117"/>
      <c r="P127" s="404">
        <f t="shared" si="67"/>
        <v>14</v>
      </c>
      <c r="Q127" s="402">
        <v>0</v>
      </c>
      <c r="R127" s="402">
        <v>0</v>
      </c>
      <c r="S127" s="402">
        <v>14</v>
      </c>
      <c r="T127" s="402">
        <v>0</v>
      </c>
      <c r="U127" s="402">
        <v>0</v>
      </c>
    </row>
    <row r="128" spans="1:22" ht="22.5" customHeight="1" x14ac:dyDescent="0.25">
      <c r="A128" s="469"/>
      <c r="B128" s="27" t="s">
        <v>90</v>
      </c>
      <c r="C128" s="404">
        <f t="shared" si="115"/>
        <v>200</v>
      </c>
      <c r="D128" s="161">
        <v>0</v>
      </c>
      <c r="E128" s="161">
        <v>0</v>
      </c>
      <c r="F128" s="403">
        <v>200</v>
      </c>
      <c r="G128" s="161">
        <v>0</v>
      </c>
      <c r="H128" s="161">
        <v>0</v>
      </c>
      <c r="I128" s="404">
        <f t="shared" si="66"/>
        <v>107</v>
      </c>
      <c r="J128" s="402">
        <v>0</v>
      </c>
      <c r="K128" s="402">
        <v>0</v>
      </c>
      <c r="L128" s="402">
        <v>107</v>
      </c>
      <c r="M128" s="402">
        <v>0</v>
      </c>
      <c r="N128" s="402">
        <v>0</v>
      </c>
      <c r="O128" s="117"/>
      <c r="P128" s="404">
        <f t="shared" si="67"/>
        <v>107</v>
      </c>
      <c r="Q128" s="402">
        <v>0</v>
      </c>
      <c r="R128" s="402">
        <v>0</v>
      </c>
      <c r="S128" s="402">
        <v>107</v>
      </c>
      <c r="T128" s="402">
        <v>0</v>
      </c>
      <c r="U128" s="402">
        <v>0</v>
      </c>
    </row>
    <row r="129" spans="1:22" ht="31.5" x14ac:dyDescent="0.25">
      <c r="A129" s="469"/>
      <c r="B129" s="27" t="s">
        <v>91</v>
      </c>
      <c r="C129" s="404">
        <f t="shared" si="115"/>
        <v>70</v>
      </c>
      <c r="D129" s="161">
        <v>0</v>
      </c>
      <c r="E129" s="161">
        <v>0</v>
      </c>
      <c r="F129" s="403">
        <v>70</v>
      </c>
      <c r="G129" s="161">
        <v>0</v>
      </c>
      <c r="H129" s="161">
        <v>0</v>
      </c>
      <c r="I129" s="404">
        <f t="shared" si="66"/>
        <v>0</v>
      </c>
      <c r="J129" s="402">
        <v>0</v>
      </c>
      <c r="K129" s="402">
        <v>0</v>
      </c>
      <c r="L129" s="402">
        <v>0</v>
      </c>
      <c r="M129" s="402">
        <v>0</v>
      </c>
      <c r="N129" s="402">
        <v>0</v>
      </c>
      <c r="O129" s="117"/>
      <c r="P129" s="404">
        <f t="shared" si="67"/>
        <v>0</v>
      </c>
      <c r="Q129" s="402">
        <v>0</v>
      </c>
      <c r="R129" s="402">
        <v>0</v>
      </c>
      <c r="S129" s="402">
        <v>0</v>
      </c>
      <c r="T129" s="402">
        <v>0</v>
      </c>
      <c r="U129" s="402">
        <v>0</v>
      </c>
    </row>
    <row r="130" spans="1:22" ht="47.25" x14ac:dyDescent="0.25">
      <c r="A130" s="469"/>
      <c r="B130" s="27" t="s">
        <v>92</v>
      </c>
      <c r="C130" s="404">
        <f t="shared" si="115"/>
        <v>55</v>
      </c>
      <c r="D130" s="161">
        <v>0</v>
      </c>
      <c r="E130" s="161">
        <v>0</v>
      </c>
      <c r="F130" s="403">
        <v>55</v>
      </c>
      <c r="G130" s="402">
        <f t="shared" ref="G130:T130" si="117">G131+G132</f>
        <v>0</v>
      </c>
      <c r="H130" s="402">
        <f t="shared" si="117"/>
        <v>0</v>
      </c>
      <c r="I130" s="404">
        <f t="shared" si="66"/>
        <v>19.167760000000001</v>
      </c>
      <c r="J130" s="402">
        <f t="shared" si="117"/>
        <v>0</v>
      </c>
      <c r="K130" s="402">
        <f t="shared" si="117"/>
        <v>0</v>
      </c>
      <c r="L130" s="402">
        <v>19.167760000000001</v>
      </c>
      <c r="M130" s="402">
        <v>0</v>
      </c>
      <c r="N130" s="402">
        <f t="shared" si="117"/>
        <v>0</v>
      </c>
      <c r="O130" s="402">
        <f t="shared" si="117"/>
        <v>74.712643678160916</v>
      </c>
      <c r="P130" s="404">
        <f t="shared" si="67"/>
        <v>17.914729999999999</v>
      </c>
      <c r="Q130" s="402">
        <v>0</v>
      </c>
      <c r="R130" s="402">
        <v>0</v>
      </c>
      <c r="S130" s="426">
        <v>17.914729999999999</v>
      </c>
      <c r="T130" s="402">
        <f t="shared" si="117"/>
        <v>0</v>
      </c>
      <c r="U130" s="402">
        <v>0</v>
      </c>
    </row>
    <row r="131" spans="1:22" ht="21" customHeight="1" x14ac:dyDescent="0.25">
      <c r="A131" s="469"/>
      <c r="B131" s="159" t="s">
        <v>93</v>
      </c>
      <c r="C131" s="404">
        <f t="shared" si="115"/>
        <v>435</v>
      </c>
      <c r="D131" s="161">
        <v>0</v>
      </c>
      <c r="E131" s="161">
        <v>0</v>
      </c>
      <c r="F131" s="402">
        <f>F132+F133</f>
        <v>435</v>
      </c>
      <c r="G131" s="161">
        <v>0</v>
      </c>
      <c r="H131" s="161">
        <v>0</v>
      </c>
      <c r="I131" s="404">
        <f t="shared" si="66"/>
        <v>325</v>
      </c>
      <c r="J131" s="402">
        <v>0</v>
      </c>
      <c r="K131" s="402">
        <v>0</v>
      </c>
      <c r="L131" s="21">
        <f>L132+L133</f>
        <v>325</v>
      </c>
      <c r="M131" s="21">
        <f t="shared" ref="M131" si="118">M132+M133</f>
        <v>0</v>
      </c>
      <c r="N131" s="21">
        <v>0</v>
      </c>
      <c r="O131" s="182">
        <f t="shared" ref="O131" si="119">(I131/C131)*100</f>
        <v>74.712643678160916</v>
      </c>
      <c r="P131" s="404">
        <f t="shared" si="67"/>
        <v>325</v>
      </c>
      <c r="Q131" s="402">
        <v>0</v>
      </c>
      <c r="R131" s="21">
        <f>R132+R133</f>
        <v>0</v>
      </c>
      <c r="S131" s="21">
        <f t="shared" ref="S131:T131" si="120">S132+S133</f>
        <v>325</v>
      </c>
      <c r="T131" s="21">
        <f t="shared" si="120"/>
        <v>0</v>
      </c>
      <c r="U131" s="402">
        <v>0</v>
      </c>
    </row>
    <row r="132" spans="1:22" x14ac:dyDescent="0.25">
      <c r="A132" s="469"/>
      <c r="B132" s="28" t="s">
        <v>94</v>
      </c>
      <c r="C132" s="404">
        <f t="shared" si="115"/>
        <v>325</v>
      </c>
      <c r="D132" s="161">
        <v>0</v>
      </c>
      <c r="E132" s="161">
        <v>0</v>
      </c>
      <c r="F132" s="402">
        <v>325</v>
      </c>
      <c r="G132" s="161">
        <v>0</v>
      </c>
      <c r="H132" s="161">
        <v>0</v>
      </c>
      <c r="I132" s="404">
        <f t="shared" si="66"/>
        <v>300</v>
      </c>
      <c r="J132" s="402">
        <v>0</v>
      </c>
      <c r="K132" s="402">
        <v>0</v>
      </c>
      <c r="L132" s="403">
        <v>300</v>
      </c>
      <c r="M132" s="402">
        <v>0</v>
      </c>
      <c r="N132" s="402">
        <v>0</v>
      </c>
      <c r="O132" s="117"/>
      <c r="P132" s="404">
        <f t="shared" si="67"/>
        <v>300</v>
      </c>
      <c r="Q132" s="402">
        <v>0</v>
      </c>
      <c r="R132" s="402">
        <v>0</v>
      </c>
      <c r="S132" s="402">
        <v>300</v>
      </c>
      <c r="T132" s="402">
        <v>0</v>
      </c>
      <c r="U132" s="402">
        <v>0</v>
      </c>
    </row>
    <row r="133" spans="1:22" x14ac:dyDescent="0.25">
      <c r="A133" s="469"/>
      <c r="B133" s="28" t="s">
        <v>95</v>
      </c>
      <c r="C133" s="404">
        <f t="shared" si="115"/>
        <v>110</v>
      </c>
      <c r="D133" s="161">
        <v>0</v>
      </c>
      <c r="E133" s="161">
        <v>0</v>
      </c>
      <c r="F133" s="402">
        <v>110</v>
      </c>
      <c r="G133" s="161">
        <v>0</v>
      </c>
      <c r="H133" s="161">
        <v>0</v>
      </c>
      <c r="I133" s="404">
        <f t="shared" si="66"/>
        <v>25</v>
      </c>
      <c r="J133" s="402">
        <f>J135</f>
        <v>0</v>
      </c>
      <c r="K133" s="402">
        <v>0</v>
      </c>
      <c r="L133" s="402">
        <v>25</v>
      </c>
      <c r="M133" s="402">
        <v>0</v>
      </c>
      <c r="N133" s="402">
        <f>N135</f>
        <v>0</v>
      </c>
      <c r="O133" s="402">
        <f>O135</f>
        <v>0</v>
      </c>
      <c r="P133" s="404">
        <f t="shared" si="67"/>
        <v>25</v>
      </c>
      <c r="Q133" s="402">
        <v>0</v>
      </c>
      <c r="R133" s="402">
        <v>0</v>
      </c>
      <c r="S133" s="402">
        <v>25</v>
      </c>
      <c r="T133" s="402">
        <v>0</v>
      </c>
      <c r="U133" s="402">
        <v>0</v>
      </c>
    </row>
    <row r="134" spans="1:22" x14ac:dyDescent="0.25">
      <c r="A134" s="469"/>
      <c r="B134" s="159" t="s">
        <v>96</v>
      </c>
      <c r="C134" s="404">
        <f>SUM(D134:H134)</f>
        <v>0</v>
      </c>
      <c r="D134" s="161">
        <v>0</v>
      </c>
      <c r="E134" s="161">
        <v>0</v>
      </c>
      <c r="F134" s="402">
        <f t="shared" ref="F134" si="121">F135</f>
        <v>0</v>
      </c>
      <c r="G134" s="170"/>
      <c r="H134" s="161">
        <v>0</v>
      </c>
      <c r="I134" s="404">
        <f t="shared" ref="I134:I186" si="122">SUM(J134:N134)</f>
        <v>810</v>
      </c>
      <c r="J134" s="402">
        <v>0</v>
      </c>
      <c r="K134" s="21">
        <f>K135</f>
        <v>0</v>
      </c>
      <c r="L134" s="21">
        <f>L135</f>
        <v>455</v>
      </c>
      <c r="M134" s="21">
        <f t="shared" ref="M134" si="123">M135</f>
        <v>355</v>
      </c>
      <c r="N134" s="21">
        <v>0</v>
      </c>
      <c r="O134" s="182"/>
      <c r="P134" s="404">
        <f t="shared" ref="P134:P193" si="124">SUM(Q134:U134)</f>
        <v>900</v>
      </c>
      <c r="Q134" s="402">
        <v>0</v>
      </c>
      <c r="R134" s="21">
        <f t="shared" ref="R134:T134" si="125">R135</f>
        <v>90</v>
      </c>
      <c r="S134" s="21">
        <f t="shared" si="125"/>
        <v>455</v>
      </c>
      <c r="T134" s="21">
        <f t="shared" si="125"/>
        <v>355</v>
      </c>
      <c r="U134" s="402">
        <v>0</v>
      </c>
    </row>
    <row r="135" spans="1:22" ht="39" customHeight="1" x14ac:dyDescent="0.25">
      <c r="A135" s="469"/>
      <c r="B135" s="22" t="s">
        <v>97</v>
      </c>
      <c r="C135" s="404">
        <f t="shared" ref="C135" si="126">SUM(D135:H135)</f>
        <v>0</v>
      </c>
      <c r="D135" s="161">
        <v>0</v>
      </c>
      <c r="E135" s="161">
        <v>0</v>
      </c>
      <c r="F135" s="161">
        <v>0</v>
      </c>
      <c r="G135" s="161">
        <v>0</v>
      </c>
      <c r="H135" s="161">
        <v>0</v>
      </c>
      <c r="I135" s="404">
        <f t="shared" si="122"/>
        <v>810</v>
      </c>
      <c r="J135" s="402">
        <v>0</v>
      </c>
      <c r="K135" s="402">
        <v>0</v>
      </c>
      <c r="L135" s="402">
        <v>455</v>
      </c>
      <c r="M135" s="402">
        <v>355</v>
      </c>
      <c r="N135" s="402">
        <v>0</v>
      </c>
      <c r="O135" s="117"/>
      <c r="P135" s="404">
        <f t="shared" si="124"/>
        <v>900</v>
      </c>
      <c r="Q135" s="402">
        <v>0</v>
      </c>
      <c r="R135" s="402">
        <v>90</v>
      </c>
      <c r="S135" s="402">
        <v>455</v>
      </c>
      <c r="T135" s="402">
        <v>355</v>
      </c>
      <c r="U135" s="402">
        <v>0</v>
      </c>
    </row>
    <row r="136" spans="1:22" ht="31.5" x14ac:dyDescent="0.25">
      <c r="A136" s="52">
        <v>8</v>
      </c>
      <c r="B136" s="24" t="s">
        <v>98</v>
      </c>
      <c r="C136" s="404">
        <f t="shared" ref="C136:H136" si="127">C137+C143+C147+C151</f>
        <v>526</v>
      </c>
      <c r="D136" s="404">
        <f t="shared" si="127"/>
        <v>0</v>
      </c>
      <c r="E136" s="404">
        <f t="shared" si="127"/>
        <v>0</v>
      </c>
      <c r="F136" s="404">
        <f t="shared" si="127"/>
        <v>526</v>
      </c>
      <c r="G136" s="404">
        <f t="shared" si="127"/>
        <v>0</v>
      </c>
      <c r="H136" s="404">
        <f t="shared" si="127"/>
        <v>0</v>
      </c>
      <c r="I136" s="404">
        <f t="shared" si="122"/>
        <v>777.16273999999999</v>
      </c>
      <c r="J136" s="404">
        <f t="shared" ref="J136:O136" si="128">J137+J143+J147+J151</f>
        <v>0</v>
      </c>
      <c r="K136" s="404">
        <f t="shared" si="128"/>
        <v>300</v>
      </c>
      <c r="L136" s="404">
        <f t="shared" si="128"/>
        <v>477.16273999999999</v>
      </c>
      <c r="M136" s="404">
        <f t="shared" si="128"/>
        <v>0</v>
      </c>
      <c r="N136" s="404">
        <f t="shared" si="128"/>
        <v>0</v>
      </c>
      <c r="O136" s="404" t="e">
        <f t="shared" si="128"/>
        <v>#DIV/0!</v>
      </c>
      <c r="P136" s="404">
        <f t="shared" si="124"/>
        <v>777.16273999999999</v>
      </c>
      <c r="Q136" s="404">
        <f>Q137+Q143+Q147+Q151</f>
        <v>0</v>
      </c>
      <c r="R136" s="404">
        <f>R137+R143+R147+R151</f>
        <v>300</v>
      </c>
      <c r="S136" s="404">
        <f>S137+S143+S147+S151</f>
        <v>477.16273999999999</v>
      </c>
      <c r="T136" s="404">
        <f>T137+T143+T147+T151</f>
        <v>0</v>
      </c>
      <c r="U136" s="404">
        <f>U137+U143+U147+U151</f>
        <v>0</v>
      </c>
      <c r="V136" s="174"/>
    </row>
    <row r="137" spans="1:22" ht="31.5" x14ac:dyDescent="0.25">
      <c r="A137" s="469"/>
      <c r="B137" s="74" t="s">
        <v>99</v>
      </c>
      <c r="C137" s="404">
        <f>SUM(D137:H137)</f>
        <v>290</v>
      </c>
      <c r="D137" s="21">
        <f>D138+D139+D140</f>
        <v>0</v>
      </c>
      <c r="E137" s="21">
        <f t="shared" ref="E137:U137" si="129">E138+E139+E140</f>
        <v>0</v>
      </c>
      <c r="F137" s="21">
        <v>290</v>
      </c>
      <c r="G137" s="21">
        <f t="shared" si="129"/>
        <v>0</v>
      </c>
      <c r="H137" s="495">
        <v>0</v>
      </c>
      <c r="I137" s="404">
        <f t="shared" si="122"/>
        <v>61.738</v>
      </c>
      <c r="J137" s="21">
        <f>J138+J139+J140</f>
        <v>0</v>
      </c>
      <c r="K137" s="21">
        <f t="shared" si="129"/>
        <v>0</v>
      </c>
      <c r="L137" s="421">
        <f>SUM(L138:L142)</f>
        <v>61.738</v>
      </c>
      <c r="M137" s="21">
        <f t="shared" si="129"/>
        <v>0</v>
      </c>
      <c r="N137" s="21">
        <f t="shared" si="129"/>
        <v>0</v>
      </c>
      <c r="O137" s="21" t="e">
        <f t="shared" si="129"/>
        <v>#DIV/0!</v>
      </c>
      <c r="P137" s="404">
        <f t="shared" si="124"/>
        <v>61.738</v>
      </c>
      <c r="Q137" s="21">
        <f t="shared" si="129"/>
        <v>0</v>
      </c>
      <c r="R137" s="21">
        <f t="shared" si="129"/>
        <v>0</v>
      </c>
      <c r="S137" s="21">
        <f>SUM(S138:S142)</f>
        <v>61.738</v>
      </c>
      <c r="T137" s="21">
        <f t="shared" si="129"/>
        <v>0</v>
      </c>
      <c r="U137" s="21">
        <f t="shared" si="129"/>
        <v>0</v>
      </c>
    </row>
    <row r="138" spans="1:22" ht="23.25" customHeight="1" x14ac:dyDescent="0.25">
      <c r="A138" s="469"/>
      <c r="B138" s="106" t="s">
        <v>100</v>
      </c>
      <c r="C138" s="404">
        <f t="shared" ref="C138:C155" si="130">SUM(D138:H138)</f>
        <v>0</v>
      </c>
      <c r="D138" s="170">
        <v>0</v>
      </c>
      <c r="E138" s="170">
        <v>0</v>
      </c>
      <c r="F138" s="402">
        <v>0</v>
      </c>
      <c r="G138" s="170">
        <v>0</v>
      </c>
      <c r="H138" s="170">
        <v>0</v>
      </c>
      <c r="I138" s="404">
        <f t="shared" si="122"/>
        <v>23.488</v>
      </c>
      <c r="J138" s="402">
        <v>0</v>
      </c>
      <c r="K138" s="402">
        <v>0</v>
      </c>
      <c r="L138" s="219">
        <v>23.488</v>
      </c>
      <c r="M138" s="402">
        <v>0</v>
      </c>
      <c r="N138" s="402">
        <v>0</v>
      </c>
      <c r="O138" s="117" t="e">
        <f t="shared" ref="O138:O139" si="131">(I138/C138)*100</f>
        <v>#DIV/0!</v>
      </c>
      <c r="P138" s="404">
        <f t="shared" si="124"/>
        <v>23.488</v>
      </c>
      <c r="Q138" s="402">
        <v>0</v>
      </c>
      <c r="R138" s="402">
        <v>0</v>
      </c>
      <c r="S138" s="402">
        <v>23.488</v>
      </c>
      <c r="T138" s="402">
        <v>0</v>
      </c>
      <c r="U138" s="402">
        <v>0</v>
      </c>
    </row>
    <row r="139" spans="1:22" ht="18" customHeight="1" x14ac:dyDescent="0.25">
      <c r="A139" s="469"/>
      <c r="B139" s="106" t="s">
        <v>101</v>
      </c>
      <c r="C139" s="404">
        <f t="shared" si="130"/>
        <v>0</v>
      </c>
      <c r="D139" s="170">
        <v>0</v>
      </c>
      <c r="E139" s="170">
        <v>0</v>
      </c>
      <c r="F139" s="402">
        <v>0</v>
      </c>
      <c r="G139" s="170">
        <v>0</v>
      </c>
      <c r="H139" s="170">
        <v>0</v>
      </c>
      <c r="I139" s="404">
        <f t="shared" si="122"/>
        <v>0</v>
      </c>
      <c r="J139" s="402">
        <v>0</v>
      </c>
      <c r="K139" s="402">
        <v>0</v>
      </c>
      <c r="L139" s="219">
        <v>0</v>
      </c>
      <c r="M139" s="402">
        <v>0</v>
      </c>
      <c r="N139" s="402">
        <v>0</v>
      </c>
      <c r="O139" s="117" t="e">
        <f t="shared" si="131"/>
        <v>#DIV/0!</v>
      </c>
      <c r="P139" s="404">
        <f t="shared" si="124"/>
        <v>0</v>
      </c>
      <c r="Q139" s="402">
        <v>0</v>
      </c>
      <c r="R139" s="402">
        <v>0</v>
      </c>
      <c r="S139" s="402">
        <v>0</v>
      </c>
      <c r="T139" s="402">
        <v>0</v>
      </c>
      <c r="U139" s="402">
        <v>0</v>
      </c>
    </row>
    <row r="140" spans="1:22" ht="18" customHeight="1" x14ac:dyDescent="0.25">
      <c r="A140" s="469"/>
      <c r="B140" s="106" t="s">
        <v>102</v>
      </c>
      <c r="C140" s="404">
        <f t="shared" si="130"/>
        <v>0</v>
      </c>
      <c r="D140" s="170">
        <v>0</v>
      </c>
      <c r="E140" s="170">
        <v>0</v>
      </c>
      <c r="F140" s="402">
        <v>0</v>
      </c>
      <c r="G140" s="170">
        <v>0</v>
      </c>
      <c r="H140" s="170">
        <v>0</v>
      </c>
      <c r="I140" s="404">
        <f t="shared" si="122"/>
        <v>0</v>
      </c>
      <c r="J140" s="402">
        <v>0</v>
      </c>
      <c r="K140" s="402">
        <v>0</v>
      </c>
      <c r="L140" s="219">
        <v>0</v>
      </c>
      <c r="M140" s="402">
        <v>0</v>
      </c>
      <c r="N140" s="402">
        <v>0</v>
      </c>
      <c r="O140" s="117"/>
      <c r="P140" s="404">
        <f t="shared" si="124"/>
        <v>0</v>
      </c>
      <c r="Q140" s="402">
        <v>0</v>
      </c>
      <c r="R140" s="402">
        <v>0</v>
      </c>
      <c r="S140" s="402">
        <v>0</v>
      </c>
      <c r="T140" s="402">
        <v>0</v>
      </c>
      <c r="U140" s="402">
        <v>0</v>
      </c>
    </row>
    <row r="141" spans="1:22" ht="19.5" customHeight="1" x14ac:dyDescent="0.25">
      <c r="A141" s="469"/>
      <c r="B141" s="106" t="s">
        <v>103</v>
      </c>
      <c r="C141" s="404">
        <f t="shared" si="130"/>
        <v>0</v>
      </c>
      <c r="D141" s="170">
        <v>0</v>
      </c>
      <c r="E141" s="170">
        <v>0</v>
      </c>
      <c r="F141" s="402">
        <v>0</v>
      </c>
      <c r="G141" s="170">
        <v>0</v>
      </c>
      <c r="H141" s="170">
        <v>0</v>
      </c>
      <c r="I141" s="404">
        <f t="shared" si="122"/>
        <v>38.25</v>
      </c>
      <c r="J141" s="402">
        <v>0</v>
      </c>
      <c r="K141" s="402">
        <v>0</v>
      </c>
      <c r="L141" s="219">
        <v>38.25</v>
      </c>
      <c r="M141" s="402">
        <v>0</v>
      </c>
      <c r="N141" s="402">
        <v>0</v>
      </c>
      <c r="O141" s="117"/>
      <c r="P141" s="404">
        <f t="shared" si="124"/>
        <v>38.25</v>
      </c>
      <c r="Q141" s="402">
        <v>0</v>
      </c>
      <c r="R141" s="402">
        <v>0</v>
      </c>
      <c r="S141" s="402">
        <v>38.25</v>
      </c>
      <c r="T141" s="402">
        <v>0</v>
      </c>
      <c r="U141" s="402">
        <v>0</v>
      </c>
    </row>
    <row r="142" spans="1:22" ht="24.75" customHeight="1" x14ac:dyDescent="0.25">
      <c r="A142" s="469"/>
      <c r="B142" s="106" t="s">
        <v>104</v>
      </c>
      <c r="C142" s="404">
        <f t="shared" si="130"/>
        <v>0</v>
      </c>
      <c r="D142" s="170">
        <v>0</v>
      </c>
      <c r="E142" s="170">
        <v>0</v>
      </c>
      <c r="F142" s="402">
        <v>0</v>
      </c>
      <c r="G142" s="170">
        <v>0</v>
      </c>
      <c r="H142" s="170">
        <v>0</v>
      </c>
      <c r="I142" s="404">
        <f t="shared" si="122"/>
        <v>0</v>
      </c>
      <c r="J142" s="402">
        <v>0</v>
      </c>
      <c r="K142" s="402">
        <v>0</v>
      </c>
      <c r="L142" s="219">
        <v>0</v>
      </c>
      <c r="M142" s="402">
        <v>0</v>
      </c>
      <c r="N142" s="402">
        <v>0</v>
      </c>
      <c r="O142" s="117"/>
      <c r="P142" s="404">
        <f t="shared" si="124"/>
        <v>0</v>
      </c>
      <c r="Q142" s="402">
        <v>0</v>
      </c>
      <c r="R142" s="402">
        <v>0</v>
      </c>
      <c r="S142" s="402">
        <v>0</v>
      </c>
      <c r="T142" s="402">
        <v>0</v>
      </c>
      <c r="U142" s="402">
        <v>0</v>
      </c>
    </row>
    <row r="143" spans="1:22" ht="18" customHeight="1" x14ac:dyDescent="0.25">
      <c r="A143" s="469"/>
      <c r="B143" s="159" t="s">
        <v>105</v>
      </c>
      <c r="C143" s="404">
        <f t="shared" si="130"/>
        <v>195</v>
      </c>
      <c r="D143" s="21">
        <f t="shared" ref="D143:U143" si="132">D144+D145+D146</f>
        <v>0</v>
      </c>
      <c r="E143" s="21">
        <f t="shared" si="132"/>
        <v>0</v>
      </c>
      <c r="F143" s="21">
        <f>F144+F145+F146</f>
        <v>195</v>
      </c>
      <c r="G143" s="21">
        <f t="shared" si="132"/>
        <v>0</v>
      </c>
      <c r="H143" s="161">
        <v>0</v>
      </c>
      <c r="I143" s="404">
        <f t="shared" si="122"/>
        <v>420</v>
      </c>
      <c r="J143" s="21">
        <f t="shared" si="132"/>
        <v>0</v>
      </c>
      <c r="K143" s="21">
        <f t="shared" si="132"/>
        <v>300</v>
      </c>
      <c r="L143" s="421">
        <f t="shared" si="132"/>
        <v>120</v>
      </c>
      <c r="M143" s="21">
        <f t="shared" si="132"/>
        <v>0</v>
      </c>
      <c r="N143" s="21">
        <f t="shared" si="132"/>
        <v>0</v>
      </c>
      <c r="O143" s="21">
        <f t="shared" si="132"/>
        <v>0</v>
      </c>
      <c r="P143" s="404">
        <f t="shared" si="124"/>
        <v>420</v>
      </c>
      <c r="Q143" s="21">
        <f t="shared" si="132"/>
        <v>0</v>
      </c>
      <c r="R143" s="21">
        <f t="shared" si="132"/>
        <v>300</v>
      </c>
      <c r="S143" s="21">
        <f>S144+S145+S146</f>
        <v>120</v>
      </c>
      <c r="T143" s="21">
        <f t="shared" si="132"/>
        <v>0</v>
      </c>
      <c r="U143" s="21">
        <f t="shared" si="132"/>
        <v>0</v>
      </c>
    </row>
    <row r="144" spans="1:22" ht="31.5" x14ac:dyDescent="0.25">
      <c r="A144" s="469"/>
      <c r="B144" s="77" t="s">
        <v>919</v>
      </c>
      <c r="C144" s="404">
        <f t="shared" si="130"/>
        <v>60</v>
      </c>
      <c r="D144" s="170">
        <v>0</v>
      </c>
      <c r="E144" s="170">
        <v>0</v>
      </c>
      <c r="F144" s="402">
        <v>60</v>
      </c>
      <c r="G144" s="170">
        <v>0</v>
      </c>
      <c r="H144" s="161">
        <v>0</v>
      </c>
      <c r="I144" s="404">
        <f t="shared" si="122"/>
        <v>0</v>
      </c>
      <c r="J144" s="402">
        <v>0</v>
      </c>
      <c r="K144" s="402">
        <v>0</v>
      </c>
      <c r="L144" s="219">
        <v>0</v>
      </c>
      <c r="M144" s="402">
        <v>0</v>
      </c>
      <c r="N144" s="402">
        <v>0</v>
      </c>
      <c r="O144" s="117">
        <f t="shared" ref="O144" si="133">(I144/C144)*100</f>
        <v>0</v>
      </c>
      <c r="P144" s="404">
        <f t="shared" si="124"/>
        <v>0</v>
      </c>
      <c r="Q144" s="420">
        <v>0</v>
      </c>
      <c r="R144" s="402">
        <v>0</v>
      </c>
      <c r="S144" s="402">
        <v>0</v>
      </c>
      <c r="T144" s="420">
        <v>0</v>
      </c>
      <c r="U144" s="420">
        <v>0</v>
      </c>
    </row>
    <row r="145" spans="1:22" ht="31.5" x14ac:dyDescent="0.25">
      <c r="A145" s="469"/>
      <c r="B145" s="77" t="s">
        <v>106</v>
      </c>
      <c r="C145" s="404">
        <f t="shared" si="130"/>
        <v>120</v>
      </c>
      <c r="D145" s="170">
        <v>0</v>
      </c>
      <c r="E145" s="170">
        <v>0</v>
      </c>
      <c r="F145" s="402">
        <v>120</v>
      </c>
      <c r="G145" s="170">
        <v>0</v>
      </c>
      <c r="H145" s="161">
        <v>0</v>
      </c>
      <c r="I145" s="404">
        <f t="shared" si="122"/>
        <v>420</v>
      </c>
      <c r="J145" s="402">
        <v>0</v>
      </c>
      <c r="K145" s="402">
        <v>300</v>
      </c>
      <c r="L145" s="219">
        <v>120</v>
      </c>
      <c r="M145" s="402">
        <v>0</v>
      </c>
      <c r="N145" s="402">
        <v>0</v>
      </c>
      <c r="O145" s="117"/>
      <c r="P145" s="404">
        <f t="shared" si="124"/>
        <v>420</v>
      </c>
      <c r="Q145" s="420">
        <v>0</v>
      </c>
      <c r="R145" s="402">
        <v>300</v>
      </c>
      <c r="S145" s="402">
        <v>120</v>
      </c>
      <c r="T145" s="420">
        <v>0</v>
      </c>
      <c r="U145" s="420">
        <v>0</v>
      </c>
    </row>
    <row r="146" spans="1:22" ht="31.5" x14ac:dyDescent="0.25">
      <c r="A146" s="469"/>
      <c r="B146" s="77" t="s">
        <v>107</v>
      </c>
      <c r="C146" s="404">
        <f t="shared" si="130"/>
        <v>15</v>
      </c>
      <c r="D146" s="170">
        <v>0</v>
      </c>
      <c r="E146" s="170">
        <v>0</v>
      </c>
      <c r="F146" s="402">
        <v>15</v>
      </c>
      <c r="G146" s="170">
        <v>0</v>
      </c>
      <c r="H146" s="161">
        <v>0</v>
      </c>
      <c r="I146" s="404">
        <f t="shared" si="122"/>
        <v>0</v>
      </c>
      <c r="J146" s="402">
        <v>0</v>
      </c>
      <c r="K146" s="402">
        <v>0</v>
      </c>
      <c r="L146" s="219">
        <v>0</v>
      </c>
      <c r="M146" s="402">
        <v>0</v>
      </c>
      <c r="N146" s="402">
        <v>0</v>
      </c>
      <c r="O146" s="117"/>
      <c r="P146" s="404">
        <f t="shared" si="124"/>
        <v>0</v>
      </c>
      <c r="Q146" s="420">
        <v>0</v>
      </c>
      <c r="R146" s="402">
        <v>0</v>
      </c>
      <c r="S146" s="402">
        <v>0</v>
      </c>
      <c r="T146" s="420">
        <v>0</v>
      </c>
      <c r="U146" s="420">
        <v>0</v>
      </c>
    </row>
    <row r="147" spans="1:22" ht="31.5" x14ac:dyDescent="0.25">
      <c r="A147" s="469"/>
      <c r="B147" s="159" t="s">
        <v>108</v>
      </c>
      <c r="C147" s="404">
        <f t="shared" si="130"/>
        <v>25</v>
      </c>
      <c r="D147" s="21">
        <f>D148+D149+D150</f>
        <v>0</v>
      </c>
      <c r="E147" s="21">
        <f t="shared" ref="E147:G147" si="134">E148+E149+E150</f>
        <v>0</v>
      </c>
      <c r="F147" s="73">
        <f>F148+F149+F150</f>
        <v>25</v>
      </c>
      <c r="G147" s="21">
        <f t="shared" si="134"/>
        <v>0</v>
      </c>
      <c r="H147" s="495">
        <v>0</v>
      </c>
      <c r="I147" s="404">
        <f t="shared" si="122"/>
        <v>57.175000000000004</v>
      </c>
      <c r="J147" s="21">
        <f t="shared" ref="J147:U147" si="135">J148+J149+J150</f>
        <v>0</v>
      </c>
      <c r="K147" s="21">
        <f t="shared" si="135"/>
        <v>0</v>
      </c>
      <c r="L147" s="421">
        <f>L148+L149+L150</f>
        <v>57.175000000000004</v>
      </c>
      <c r="M147" s="21">
        <f t="shared" si="135"/>
        <v>0</v>
      </c>
      <c r="N147" s="21">
        <f t="shared" si="135"/>
        <v>0</v>
      </c>
      <c r="O147" s="21">
        <f t="shared" si="135"/>
        <v>0</v>
      </c>
      <c r="P147" s="404">
        <f t="shared" si="124"/>
        <v>57.175000000000004</v>
      </c>
      <c r="Q147" s="21">
        <f t="shared" si="135"/>
        <v>0</v>
      </c>
      <c r="R147" s="21">
        <f t="shared" si="135"/>
        <v>0</v>
      </c>
      <c r="S147" s="21">
        <f>S148+S149+S150</f>
        <v>57.175000000000004</v>
      </c>
      <c r="T147" s="21">
        <f t="shared" si="135"/>
        <v>0</v>
      </c>
      <c r="U147" s="21">
        <f t="shared" si="135"/>
        <v>0</v>
      </c>
    </row>
    <row r="148" spans="1:22" ht="31.5" x14ac:dyDescent="0.25">
      <c r="A148" s="469"/>
      <c r="B148" s="77" t="s">
        <v>109</v>
      </c>
      <c r="C148" s="404">
        <f t="shared" si="130"/>
        <v>0</v>
      </c>
      <c r="D148" s="170">
        <v>0</v>
      </c>
      <c r="E148" s="170">
        <v>0</v>
      </c>
      <c r="F148" s="402">
        <v>0</v>
      </c>
      <c r="G148" s="170">
        <v>0</v>
      </c>
      <c r="H148" s="161">
        <v>0</v>
      </c>
      <c r="I148" s="404">
        <f t="shared" si="122"/>
        <v>0</v>
      </c>
      <c r="J148" s="402">
        <v>0</v>
      </c>
      <c r="K148" s="402">
        <v>0</v>
      </c>
      <c r="L148" s="219">
        <v>0</v>
      </c>
      <c r="M148" s="402">
        <v>0</v>
      </c>
      <c r="N148" s="402">
        <v>0</v>
      </c>
      <c r="O148" s="117"/>
      <c r="P148" s="404">
        <f t="shared" si="124"/>
        <v>0</v>
      </c>
      <c r="Q148" s="402">
        <v>0</v>
      </c>
      <c r="R148" s="402">
        <v>0</v>
      </c>
      <c r="S148" s="402">
        <v>0</v>
      </c>
      <c r="T148" s="402">
        <v>0</v>
      </c>
      <c r="U148" s="402">
        <v>0</v>
      </c>
    </row>
    <row r="149" spans="1:22" ht="48" customHeight="1" x14ac:dyDescent="0.25">
      <c r="A149" s="469"/>
      <c r="B149" s="77" t="s">
        <v>110</v>
      </c>
      <c r="C149" s="404">
        <f t="shared" si="130"/>
        <v>25</v>
      </c>
      <c r="D149" s="170">
        <v>0</v>
      </c>
      <c r="E149" s="170">
        <v>0</v>
      </c>
      <c r="F149" s="402">
        <v>25</v>
      </c>
      <c r="G149" s="170">
        <v>0</v>
      </c>
      <c r="H149" s="161">
        <v>0</v>
      </c>
      <c r="I149" s="404">
        <f t="shared" si="122"/>
        <v>7.5780000000000003</v>
      </c>
      <c r="J149" s="402">
        <v>0</v>
      </c>
      <c r="K149" s="402">
        <v>0</v>
      </c>
      <c r="L149" s="219">
        <v>7.5780000000000003</v>
      </c>
      <c r="M149" s="402">
        <v>0</v>
      </c>
      <c r="N149" s="402">
        <v>0</v>
      </c>
      <c r="O149" s="117"/>
      <c r="P149" s="404">
        <f t="shared" si="124"/>
        <v>7.5780000000000003</v>
      </c>
      <c r="Q149" s="402">
        <v>0</v>
      </c>
      <c r="R149" s="402">
        <v>0</v>
      </c>
      <c r="S149" s="402">
        <v>7.5780000000000003</v>
      </c>
      <c r="T149" s="402">
        <v>0</v>
      </c>
      <c r="U149" s="402">
        <v>0</v>
      </c>
    </row>
    <row r="150" spans="1:22" ht="33.75" customHeight="1" x14ac:dyDescent="0.25">
      <c r="A150" s="469"/>
      <c r="B150" s="77" t="s">
        <v>111</v>
      </c>
      <c r="C150" s="404">
        <f t="shared" si="130"/>
        <v>0</v>
      </c>
      <c r="D150" s="170">
        <v>0</v>
      </c>
      <c r="E150" s="170">
        <v>0</v>
      </c>
      <c r="F150" s="402">
        <v>0</v>
      </c>
      <c r="G150" s="170">
        <v>0</v>
      </c>
      <c r="H150" s="161">
        <v>0</v>
      </c>
      <c r="I150" s="404">
        <f t="shared" si="122"/>
        <v>49.597000000000001</v>
      </c>
      <c r="J150" s="402">
        <v>0</v>
      </c>
      <c r="K150" s="402">
        <v>0</v>
      </c>
      <c r="L150" s="219">
        <v>49.597000000000001</v>
      </c>
      <c r="M150" s="402">
        <v>0</v>
      </c>
      <c r="N150" s="402">
        <v>0</v>
      </c>
      <c r="O150" s="117"/>
      <c r="P150" s="404">
        <f t="shared" si="124"/>
        <v>49.597000000000001</v>
      </c>
      <c r="Q150" s="402">
        <v>0</v>
      </c>
      <c r="R150" s="402">
        <v>0</v>
      </c>
      <c r="S150" s="402">
        <v>49.597000000000001</v>
      </c>
      <c r="T150" s="402">
        <v>0</v>
      </c>
      <c r="U150" s="402">
        <v>0</v>
      </c>
    </row>
    <row r="151" spans="1:22" ht="16.5" customHeight="1" x14ac:dyDescent="0.25">
      <c r="A151" s="469"/>
      <c r="B151" s="159" t="s">
        <v>112</v>
      </c>
      <c r="C151" s="404">
        <f t="shared" si="130"/>
        <v>16</v>
      </c>
      <c r="D151" s="402">
        <f>D153+D154+D155</f>
        <v>0</v>
      </c>
      <c r="E151" s="402">
        <f t="shared" ref="E151:U151" si="136">E153+E154+E155</f>
        <v>0</v>
      </c>
      <c r="F151" s="402">
        <f>SUM(F153:F155)</f>
        <v>16</v>
      </c>
      <c r="G151" s="402">
        <f t="shared" si="136"/>
        <v>0</v>
      </c>
      <c r="H151" s="161">
        <v>0</v>
      </c>
      <c r="I151" s="404">
        <f t="shared" si="122"/>
        <v>238.24974</v>
      </c>
      <c r="J151" s="21">
        <f t="shared" si="136"/>
        <v>0</v>
      </c>
      <c r="K151" s="21">
        <f t="shared" si="136"/>
        <v>0</v>
      </c>
      <c r="L151" s="421">
        <f>L153+L154+L155+L152</f>
        <v>238.24974</v>
      </c>
      <c r="M151" s="21">
        <f t="shared" si="136"/>
        <v>0</v>
      </c>
      <c r="N151" s="21">
        <f t="shared" si="136"/>
        <v>0</v>
      </c>
      <c r="O151" s="21" t="e">
        <f t="shared" si="136"/>
        <v>#DIV/0!</v>
      </c>
      <c r="P151" s="404">
        <f t="shared" si="124"/>
        <v>238.24974</v>
      </c>
      <c r="Q151" s="21">
        <f t="shared" si="136"/>
        <v>0</v>
      </c>
      <c r="R151" s="21">
        <f t="shared" si="136"/>
        <v>0</v>
      </c>
      <c r="S151" s="21">
        <f>S153+S154+S155+S152</f>
        <v>238.24974</v>
      </c>
      <c r="T151" s="21">
        <f t="shared" si="136"/>
        <v>0</v>
      </c>
      <c r="U151" s="21">
        <f t="shared" si="136"/>
        <v>0</v>
      </c>
    </row>
    <row r="152" spans="1:22" ht="22.5" customHeight="1" x14ac:dyDescent="0.25">
      <c r="A152" s="469"/>
      <c r="B152" s="343" t="s">
        <v>136</v>
      </c>
      <c r="C152" s="404"/>
      <c r="D152" s="170">
        <v>0</v>
      </c>
      <c r="E152" s="170">
        <v>0</v>
      </c>
      <c r="F152" s="170">
        <v>0</v>
      </c>
      <c r="G152" s="170">
        <v>0</v>
      </c>
      <c r="H152" s="161">
        <v>0</v>
      </c>
      <c r="I152" s="404">
        <f t="shared" si="122"/>
        <v>207.16274000000001</v>
      </c>
      <c r="J152" s="402">
        <v>0</v>
      </c>
      <c r="K152" s="402">
        <v>0</v>
      </c>
      <c r="L152" s="178">
        <v>207.16274000000001</v>
      </c>
      <c r="M152" s="402">
        <v>0</v>
      </c>
      <c r="N152" s="402">
        <v>0</v>
      </c>
      <c r="O152" s="118"/>
      <c r="P152" s="404">
        <f t="shared" si="124"/>
        <v>207.16274000000001</v>
      </c>
      <c r="Q152" s="402">
        <v>0</v>
      </c>
      <c r="R152" s="402">
        <v>0</v>
      </c>
      <c r="S152" s="178">
        <v>207.16274000000001</v>
      </c>
      <c r="T152" s="402">
        <v>0</v>
      </c>
      <c r="U152" s="402">
        <v>0</v>
      </c>
    </row>
    <row r="153" spans="1:22" ht="33" customHeight="1" x14ac:dyDescent="0.25">
      <c r="A153" s="469"/>
      <c r="B153" s="77" t="s">
        <v>113</v>
      </c>
      <c r="C153" s="404">
        <f t="shared" si="130"/>
        <v>0</v>
      </c>
      <c r="D153" s="170">
        <v>0</v>
      </c>
      <c r="E153" s="170">
        <v>0</v>
      </c>
      <c r="F153" s="402">
        <v>0</v>
      </c>
      <c r="G153" s="170">
        <v>0</v>
      </c>
      <c r="H153" s="161">
        <v>0</v>
      </c>
      <c r="I153" s="404">
        <f t="shared" si="122"/>
        <v>31.087</v>
      </c>
      <c r="J153" s="402">
        <v>0</v>
      </c>
      <c r="K153" s="402">
        <v>0</v>
      </c>
      <c r="L153" s="219">
        <v>31.087</v>
      </c>
      <c r="M153" s="402">
        <v>0</v>
      </c>
      <c r="N153" s="402">
        <v>0</v>
      </c>
      <c r="O153" s="117" t="e">
        <f t="shared" ref="O153" si="137">(I153/C153)*100</f>
        <v>#DIV/0!</v>
      </c>
      <c r="P153" s="404">
        <f t="shared" si="124"/>
        <v>31.087</v>
      </c>
      <c r="Q153" s="402">
        <v>0</v>
      </c>
      <c r="R153" s="402">
        <v>0</v>
      </c>
      <c r="S153" s="402">
        <v>31.087</v>
      </c>
      <c r="T153" s="402">
        <v>0</v>
      </c>
      <c r="U153" s="402">
        <v>0</v>
      </c>
    </row>
    <row r="154" spans="1:22" ht="70.5" customHeight="1" x14ac:dyDescent="0.25">
      <c r="A154" s="469"/>
      <c r="B154" s="77" t="s">
        <v>114</v>
      </c>
      <c r="C154" s="404">
        <f t="shared" si="130"/>
        <v>16</v>
      </c>
      <c r="D154" s="170">
        <v>0</v>
      </c>
      <c r="E154" s="170">
        <v>0</v>
      </c>
      <c r="F154" s="117">
        <v>16</v>
      </c>
      <c r="G154" s="170">
        <v>0</v>
      </c>
      <c r="H154" s="161">
        <v>0</v>
      </c>
      <c r="I154" s="404">
        <f t="shared" si="122"/>
        <v>0</v>
      </c>
      <c r="J154" s="420">
        <v>0</v>
      </c>
      <c r="K154" s="420">
        <v>0</v>
      </c>
      <c r="L154" s="420">
        <v>0</v>
      </c>
      <c r="M154" s="420">
        <v>0</v>
      </c>
      <c r="N154" s="420">
        <v>0</v>
      </c>
      <c r="O154" s="171"/>
      <c r="P154" s="404">
        <f t="shared" si="124"/>
        <v>0</v>
      </c>
      <c r="Q154" s="420">
        <v>0</v>
      </c>
      <c r="R154" s="420">
        <v>0</v>
      </c>
      <c r="S154" s="117">
        <v>0</v>
      </c>
      <c r="T154" s="420">
        <v>0</v>
      </c>
      <c r="U154" s="420">
        <v>0</v>
      </c>
    </row>
    <row r="155" spans="1:22" ht="67.5" customHeight="1" x14ac:dyDescent="0.25">
      <c r="A155" s="469"/>
      <c r="B155" s="77" t="s">
        <v>115</v>
      </c>
      <c r="C155" s="404">
        <f t="shared" si="130"/>
        <v>0</v>
      </c>
      <c r="D155" s="170">
        <v>0</v>
      </c>
      <c r="E155" s="170">
        <v>0</v>
      </c>
      <c r="F155" s="117">
        <v>0</v>
      </c>
      <c r="G155" s="170">
        <v>0</v>
      </c>
      <c r="H155" s="161">
        <v>0</v>
      </c>
      <c r="I155" s="404">
        <f t="shared" si="122"/>
        <v>0</v>
      </c>
      <c r="J155" s="420">
        <v>0</v>
      </c>
      <c r="K155" s="420">
        <v>0</v>
      </c>
      <c r="L155" s="420">
        <v>0</v>
      </c>
      <c r="M155" s="420">
        <v>0</v>
      </c>
      <c r="N155" s="420">
        <v>0</v>
      </c>
      <c r="O155" s="171"/>
      <c r="P155" s="404">
        <f t="shared" si="124"/>
        <v>0</v>
      </c>
      <c r="Q155" s="420">
        <v>0</v>
      </c>
      <c r="R155" s="420">
        <v>0</v>
      </c>
      <c r="S155" s="117">
        <v>0</v>
      </c>
      <c r="T155" s="420">
        <v>0</v>
      </c>
      <c r="U155" s="420">
        <v>0</v>
      </c>
    </row>
    <row r="156" spans="1:22" ht="31.5" x14ac:dyDescent="0.25">
      <c r="A156" s="52" t="s">
        <v>116</v>
      </c>
      <c r="B156" s="24" t="s">
        <v>117</v>
      </c>
      <c r="C156" s="404">
        <f>C157+C160</f>
        <v>320</v>
      </c>
      <c r="D156" s="404">
        <f>D157+D160</f>
        <v>0</v>
      </c>
      <c r="E156" s="404">
        <f t="shared" ref="E156" si="138">E157+E160</f>
        <v>0</v>
      </c>
      <c r="F156" s="404">
        <f>SUM(F157+F160)</f>
        <v>320</v>
      </c>
      <c r="G156" s="404">
        <f t="shared" ref="G156:U156" si="139">G157+G160</f>
        <v>0</v>
      </c>
      <c r="H156" s="404">
        <f t="shared" si="139"/>
        <v>0</v>
      </c>
      <c r="I156" s="404">
        <f>SUM(J156:N156)</f>
        <v>564.9</v>
      </c>
      <c r="J156" s="404">
        <f t="shared" si="139"/>
        <v>0</v>
      </c>
      <c r="K156" s="404">
        <f t="shared" si="139"/>
        <v>264.89999999999998</v>
      </c>
      <c r="L156" s="404">
        <f>SUM(L157+L160)</f>
        <v>300</v>
      </c>
      <c r="M156" s="404">
        <f t="shared" si="139"/>
        <v>0</v>
      </c>
      <c r="N156" s="404">
        <f t="shared" si="139"/>
        <v>0</v>
      </c>
      <c r="O156" s="404" t="e">
        <f t="shared" si="139"/>
        <v>#DIV/0!</v>
      </c>
      <c r="P156" s="404">
        <f t="shared" si="124"/>
        <v>564.904</v>
      </c>
      <c r="Q156" s="404">
        <f t="shared" si="139"/>
        <v>0</v>
      </c>
      <c r="R156" s="404">
        <f t="shared" ref="R156:S156" si="140">SUM(R157+R160)</f>
        <v>264.904</v>
      </c>
      <c r="S156" s="404">
        <f t="shared" si="140"/>
        <v>300</v>
      </c>
      <c r="T156" s="404">
        <f t="shared" si="139"/>
        <v>0</v>
      </c>
      <c r="U156" s="404">
        <f t="shared" si="139"/>
        <v>0</v>
      </c>
      <c r="V156" s="174"/>
    </row>
    <row r="157" spans="1:22" ht="31.5" x14ac:dyDescent="0.25">
      <c r="A157" s="469"/>
      <c r="B157" s="74" t="s">
        <v>118</v>
      </c>
      <c r="C157" s="404">
        <f>SUM(D157:H157)</f>
        <v>100</v>
      </c>
      <c r="D157" s="402">
        <f>D158+D159</f>
        <v>0</v>
      </c>
      <c r="E157" s="402">
        <f t="shared" ref="E157" si="141">E158+E159</f>
        <v>0</v>
      </c>
      <c r="F157" s="402">
        <v>100</v>
      </c>
      <c r="G157" s="402">
        <f t="shared" ref="G157:U157" si="142">G158+G159</f>
        <v>0</v>
      </c>
      <c r="H157" s="402">
        <f t="shared" si="142"/>
        <v>0</v>
      </c>
      <c r="I157" s="404">
        <f t="shared" si="122"/>
        <v>364.9</v>
      </c>
      <c r="J157" s="21">
        <f t="shared" si="142"/>
        <v>0</v>
      </c>
      <c r="K157" s="21">
        <f t="shared" si="142"/>
        <v>264.89999999999998</v>
      </c>
      <c r="L157" s="21">
        <v>100</v>
      </c>
      <c r="M157" s="21">
        <f t="shared" si="142"/>
        <v>0</v>
      </c>
      <c r="N157" s="21">
        <f t="shared" si="142"/>
        <v>0</v>
      </c>
      <c r="O157" s="21" t="e">
        <f t="shared" si="142"/>
        <v>#DIV/0!</v>
      </c>
      <c r="P157" s="404">
        <f t="shared" si="124"/>
        <v>364.904</v>
      </c>
      <c r="Q157" s="21">
        <f t="shared" si="142"/>
        <v>0</v>
      </c>
      <c r="R157" s="21">
        <v>264.904</v>
      </c>
      <c r="S157" s="21">
        <v>100</v>
      </c>
      <c r="T157" s="21">
        <f t="shared" si="142"/>
        <v>0</v>
      </c>
      <c r="U157" s="21">
        <f t="shared" si="142"/>
        <v>0</v>
      </c>
    </row>
    <row r="158" spans="1:22" ht="36" customHeight="1" x14ac:dyDescent="0.25">
      <c r="A158" s="469"/>
      <c r="B158" s="27" t="s">
        <v>119</v>
      </c>
      <c r="C158" s="404">
        <f t="shared" ref="C158:C159" si="143">SUM(D158:H158)</f>
        <v>100</v>
      </c>
      <c r="D158" s="402"/>
      <c r="E158" s="402"/>
      <c r="F158" s="402">
        <v>100</v>
      </c>
      <c r="G158" s="402"/>
      <c r="H158" s="402"/>
      <c r="I158" s="404">
        <f t="shared" si="122"/>
        <v>364.9</v>
      </c>
      <c r="J158" s="402">
        <v>0</v>
      </c>
      <c r="K158" s="402">
        <v>264.89999999999998</v>
      </c>
      <c r="L158" s="402">
        <v>100</v>
      </c>
      <c r="M158" s="402">
        <v>0</v>
      </c>
      <c r="N158" s="402">
        <v>0</v>
      </c>
      <c r="O158" s="117">
        <f t="shared" ref="O158:O159" si="144">(I158/C158)*100</f>
        <v>364.9</v>
      </c>
      <c r="P158" s="404">
        <f t="shared" si="124"/>
        <v>364.904</v>
      </c>
      <c r="Q158" s="402">
        <v>0</v>
      </c>
      <c r="R158" s="402">
        <v>264.904</v>
      </c>
      <c r="S158" s="402">
        <v>100</v>
      </c>
      <c r="T158" s="402">
        <v>0</v>
      </c>
      <c r="U158" s="402">
        <v>0</v>
      </c>
    </row>
    <row r="159" spans="1:22" ht="19.5" customHeight="1" x14ac:dyDescent="0.25">
      <c r="A159" s="469"/>
      <c r="B159" s="27" t="s">
        <v>120</v>
      </c>
      <c r="C159" s="404">
        <f t="shared" si="143"/>
        <v>0</v>
      </c>
      <c r="D159" s="402"/>
      <c r="E159" s="402"/>
      <c r="F159" s="402">
        <v>0</v>
      </c>
      <c r="G159" s="402"/>
      <c r="H159" s="402"/>
      <c r="I159" s="404">
        <f t="shared" si="122"/>
        <v>0</v>
      </c>
      <c r="J159" s="402"/>
      <c r="K159" s="402"/>
      <c r="L159" s="402">
        <v>0</v>
      </c>
      <c r="M159" s="402"/>
      <c r="N159" s="402"/>
      <c r="O159" s="117" t="e">
        <f t="shared" si="144"/>
        <v>#DIV/0!</v>
      </c>
      <c r="P159" s="404">
        <f t="shared" si="124"/>
        <v>0</v>
      </c>
      <c r="Q159" s="402"/>
      <c r="R159" s="402"/>
      <c r="S159" s="402">
        <v>0</v>
      </c>
      <c r="T159" s="402"/>
      <c r="U159" s="402"/>
    </row>
    <row r="160" spans="1:22" ht="19.5" customHeight="1" x14ac:dyDescent="0.25">
      <c r="A160" s="90"/>
      <c r="B160" s="159" t="s">
        <v>121</v>
      </c>
      <c r="C160" s="404">
        <f>SUM(D160:H160)</f>
        <v>220</v>
      </c>
      <c r="D160" s="402">
        <f>D161</f>
        <v>0</v>
      </c>
      <c r="E160" s="402">
        <f t="shared" ref="E160" si="145">E161</f>
        <v>0</v>
      </c>
      <c r="F160" s="402">
        <v>220</v>
      </c>
      <c r="G160" s="402">
        <f t="shared" ref="G160:U160" si="146">G161</f>
        <v>0</v>
      </c>
      <c r="H160" s="402">
        <f t="shared" si="146"/>
        <v>0</v>
      </c>
      <c r="I160" s="404">
        <f t="shared" si="122"/>
        <v>200</v>
      </c>
      <c r="J160" s="21">
        <f>J161</f>
        <v>0</v>
      </c>
      <c r="K160" s="21">
        <f t="shared" si="146"/>
        <v>0</v>
      </c>
      <c r="L160" s="21">
        <v>200</v>
      </c>
      <c r="M160" s="21">
        <f t="shared" si="146"/>
        <v>0</v>
      </c>
      <c r="N160" s="21">
        <f t="shared" si="146"/>
        <v>0</v>
      </c>
      <c r="O160" s="21">
        <f t="shared" si="146"/>
        <v>90.909090909090907</v>
      </c>
      <c r="P160" s="404">
        <f t="shared" si="124"/>
        <v>200</v>
      </c>
      <c r="Q160" s="21">
        <f t="shared" si="146"/>
        <v>0</v>
      </c>
      <c r="R160" s="21">
        <v>0</v>
      </c>
      <c r="S160" s="21">
        <v>200</v>
      </c>
      <c r="T160" s="21">
        <f t="shared" si="146"/>
        <v>0</v>
      </c>
      <c r="U160" s="21">
        <f t="shared" si="146"/>
        <v>0</v>
      </c>
    </row>
    <row r="161" spans="1:22" ht="23.25" customHeight="1" x14ac:dyDescent="0.25">
      <c r="A161" s="469"/>
      <c r="B161" s="28" t="s">
        <v>121</v>
      </c>
      <c r="C161" s="404">
        <f>SUM(D161:H161)</f>
        <v>220</v>
      </c>
      <c r="D161" s="402"/>
      <c r="E161" s="402"/>
      <c r="F161" s="402">
        <v>220</v>
      </c>
      <c r="G161" s="402"/>
      <c r="H161" s="402"/>
      <c r="I161" s="404">
        <f t="shared" si="122"/>
        <v>200</v>
      </c>
      <c r="J161" s="402">
        <v>0</v>
      </c>
      <c r="K161" s="402">
        <v>0</v>
      </c>
      <c r="L161" s="402">
        <v>200</v>
      </c>
      <c r="M161" s="402">
        <v>0</v>
      </c>
      <c r="N161" s="402">
        <v>0</v>
      </c>
      <c r="O161" s="117">
        <f t="shared" ref="O161" si="147">(I161/C161)*100</f>
        <v>90.909090909090907</v>
      </c>
      <c r="P161" s="404">
        <f t="shared" si="124"/>
        <v>200</v>
      </c>
      <c r="Q161" s="402">
        <v>0</v>
      </c>
      <c r="R161" s="402">
        <v>0</v>
      </c>
      <c r="S161" s="402">
        <v>200</v>
      </c>
      <c r="T161" s="402">
        <v>0</v>
      </c>
      <c r="U161" s="402">
        <v>0</v>
      </c>
    </row>
    <row r="162" spans="1:22" ht="47.25" customHeight="1" x14ac:dyDescent="0.25">
      <c r="A162" s="52" t="s">
        <v>122</v>
      </c>
      <c r="B162" s="24" t="s">
        <v>123</v>
      </c>
      <c r="C162" s="168">
        <f>SUM(D162:G162)</f>
        <v>577</v>
      </c>
      <c r="D162" s="404">
        <v>0</v>
      </c>
      <c r="E162" s="404">
        <v>0</v>
      </c>
      <c r="F162" s="404">
        <f>SUM(F163:F172)</f>
        <v>577</v>
      </c>
      <c r="G162" s="404">
        <v>0</v>
      </c>
      <c r="H162" s="404">
        <v>0</v>
      </c>
      <c r="I162" s="404">
        <f t="shared" si="122"/>
        <v>577</v>
      </c>
      <c r="J162" s="404">
        <v>0</v>
      </c>
      <c r="K162" s="404">
        <v>0</v>
      </c>
      <c r="L162" s="404">
        <f>SUM(L163:L172)</f>
        <v>577</v>
      </c>
      <c r="M162" s="404">
        <v>0</v>
      </c>
      <c r="N162" s="404">
        <v>0</v>
      </c>
      <c r="O162" s="168">
        <v>468625</v>
      </c>
      <c r="P162" s="404">
        <f t="shared" si="124"/>
        <v>577</v>
      </c>
      <c r="Q162" s="168">
        <v>0</v>
      </c>
      <c r="R162" s="404">
        <v>0</v>
      </c>
      <c r="S162" s="404">
        <f>SUM(S163:S172)</f>
        <v>577</v>
      </c>
      <c r="T162" s="168">
        <v>0</v>
      </c>
      <c r="U162" s="111">
        <v>0</v>
      </c>
      <c r="V162" s="174"/>
    </row>
    <row r="163" spans="1:22" ht="31.5" x14ac:dyDescent="0.25">
      <c r="A163" s="40"/>
      <c r="B163" s="98" t="s">
        <v>124</v>
      </c>
      <c r="C163" s="404">
        <v>500</v>
      </c>
      <c r="D163" s="402">
        <v>0</v>
      </c>
      <c r="E163" s="402">
        <v>0</v>
      </c>
      <c r="F163" s="118">
        <v>450</v>
      </c>
      <c r="G163" s="402">
        <v>0</v>
      </c>
      <c r="H163" s="402">
        <v>0</v>
      </c>
      <c r="I163" s="404">
        <f t="shared" si="122"/>
        <v>450</v>
      </c>
      <c r="J163" s="402">
        <v>0</v>
      </c>
      <c r="K163" s="402">
        <v>0</v>
      </c>
      <c r="L163" s="110">
        <v>450</v>
      </c>
      <c r="M163" s="402">
        <v>0</v>
      </c>
      <c r="N163" s="402">
        <v>0</v>
      </c>
      <c r="O163" s="21">
        <v>450</v>
      </c>
      <c r="P163" s="404">
        <f t="shared" si="124"/>
        <v>450</v>
      </c>
      <c r="Q163" s="402">
        <v>0</v>
      </c>
      <c r="R163" s="402">
        <v>0</v>
      </c>
      <c r="S163" s="110">
        <v>450</v>
      </c>
      <c r="T163" s="402">
        <v>0</v>
      </c>
      <c r="U163" s="171">
        <v>0</v>
      </c>
    </row>
    <row r="164" spans="1:22" ht="48" customHeight="1" x14ac:dyDescent="0.25">
      <c r="A164" s="26"/>
      <c r="B164" s="78" t="s">
        <v>125</v>
      </c>
      <c r="C164" s="404">
        <v>45</v>
      </c>
      <c r="D164" s="402">
        <v>0</v>
      </c>
      <c r="E164" s="402">
        <v>0</v>
      </c>
      <c r="F164" s="118">
        <v>10.74</v>
      </c>
      <c r="G164" s="402">
        <v>0</v>
      </c>
      <c r="H164" s="402">
        <v>0</v>
      </c>
      <c r="I164" s="404">
        <f t="shared" si="122"/>
        <v>10.74</v>
      </c>
      <c r="J164" s="402">
        <v>0</v>
      </c>
      <c r="K164" s="402">
        <v>0</v>
      </c>
      <c r="L164" s="119">
        <v>10.74</v>
      </c>
      <c r="M164" s="402">
        <v>0</v>
      </c>
      <c r="N164" s="402">
        <v>0</v>
      </c>
      <c r="O164" s="21">
        <v>3625</v>
      </c>
      <c r="P164" s="404">
        <f t="shared" si="124"/>
        <v>10.74</v>
      </c>
      <c r="Q164" s="402">
        <v>0</v>
      </c>
      <c r="R164" s="402">
        <v>0</v>
      </c>
      <c r="S164" s="119">
        <v>10.74</v>
      </c>
      <c r="T164" s="402">
        <v>0</v>
      </c>
      <c r="U164" s="171">
        <v>0</v>
      </c>
    </row>
    <row r="165" spans="1:22" ht="21" customHeight="1" x14ac:dyDescent="0.25">
      <c r="A165" s="26"/>
      <c r="B165" s="7" t="s">
        <v>126</v>
      </c>
      <c r="C165" s="404">
        <v>15</v>
      </c>
      <c r="D165" s="402">
        <v>0</v>
      </c>
      <c r="E165" s="402">
        <v>0</v>
      </c>
      <c r="F165" s="118">
        <v>20</v>
      </c>
      <c r="G165" s="402">
        <v>0</v>
      </c>
      <c r="H165" s="402">
        <v>0</v>
      </c>
      <c r="I165" s="404">
        <f t="shared" si="122"/>
        <v>20</v>
      </c>
      <c r="J165" s="402">
        <v>0</v>
      </c>
      <c r="K165" s="402">
        <v>0</v>
      </c>
      <c r="L165" s="118">
        <v>20</v>
      </c>
      <c r="M165" s="402">
        <v>0</v>
      </c>
      <c r="N165" s="402">
        <v>0</v>
      </c>
      <c r="O165" s="21">
        <v>15</v>
      </c>
      <c r="P165" s="404">
        <f t="shared" si="124"/>
        <v>20</v>
      </c>
      <c r="Q165" s="402">
        <v>0</v>
      </c>
      <c r="R165" s="402">
        <v>0</v>
      </c>
      <c r="S165" s="118">
        <v>20</v>
      </c>
      <c r="T165" s="402">
        <v>0</v>
      </c>
      <c r="U165" s="171">
        <v>0</v>
      </c>
    </row>
    <row r="166" spans="1:22" x14ac:dyDescent="0.25">
      <c r="A166" s="26"/>
      <c r="B166" s="7" t="s">
        <v>1053</v>
      </c>
      <c r="C166" s="404">
        <v>10</v>
      </c>
      <c r="D166" s="402">
        <v>0</v>
      </c>
      <c r="E166" s="402">
        <v>0</v>
      </c>
      <c r="F166" s="118">
        <v>30</v>
      </c>
      <c r="G166" s="402">
        <v>0</v>
      </c>
      <c r="H166" s="402">
        <v>0</v>
      </c>
      <c r="I166" s="404">
        <f t="shared" si="122"/>
        <v>30</v>
      </c>
      <c r="J166" s="402">
        <v>0</v>
      </c>
      <c r="K166" s="402">
        <v>0</v>
      </c>
      <c r="L166" s="118">
        <v>30</v>
      </c>
      <c r="M166" s="402">
        <v>0</v>
      </c>
      <c r="N166" s="402">
        <v>0</v>
      </c>
      <c r="O166" s="21">
        <v>0</v>
      </c>
      <c r="P166" s="404">
        <f t="shared" si="124"/>
        <v>30</v>
      </c>
      <c r="Q166" s="402">
        <v>0</v>
      </c>
      <c r="R166" s="402">
        <v>0</v>
      </c>
      <c r="S166" s="118">
        <v>30</v>
      </c>
      <c r="T166" s="402">
        <v>0</v>
      </c>
      <c r="U166" s="171">
        <v>0</v>
      </c>
    </row>
    <row r="167" spans="1:22" x14ac:dyDescent="0.25">
      <c r="A167" s="26"/>
      <c r="B167" s="39" t="s">
        <v>1054</v>
      </c>
      <c r="C167" s="404">
        <v>25</v>
      </c>
      <c r="D167" s="402">
        <v>0</v>
      </c>
      <c r="E167" s="402">
        <v>0</v>
      </c>
      <c r="F167" s="118">
        <v>6</v>
      </c>
      <c r="G167" s="402">
        <v>0</v>
      </c>
      <c r="H167" s="402">
        <v>0</v>
      </c>
      <c r="I167" s="404">
        <f t="shared" si="122"/>
        <v>6</v>
      </c>
      <c r="J167" s="402">
        <v>0</v>
      </c>
      <c r="K167" s="402">
        <v>0</v>
      </c>
      <c r="L167" s="118">
        <v>6</v>
      </c>
      <c r="M167" s="402">
        <v>0</v>
      </c>
      <c r="N167" s="402">
        <v>0</v>
      </c>
      <c r="O167" s="21">
        <v>0</v>
      </c>
      <c r="P167" s="404">
        <f t="shared" si="124"/>
        <v>6</v>
      </c>
      <c r="Q167" s="402">
        <v>0</v>
      </c>
      <c r="R167" s="402">
        <v>0</v>
      </c>
      <c r="S167" s="118">
        <v>6</v>
      </c>
      <c r="T167" s="402">
        <v>0</v>
      </c>
      <c r="U167" s="171">
        <v>0</v>
      </c>
    </row>
    <row r="168" spans="1:22" ht="18.75" customHeight="1" x14ac:dyDescent="0.25">
      <c r="A168" s="26"/>
      <c r="B168" s="39" t="s">
        <v>1055</v>
      </c>
      <c r="C168" s="404">
        <v>5</v>
      </c>
      <c r="D168" s="402">
        <v>0</v>
      </c>
      <c r="E168" s="402">
        <v>0</v>
      </c>
      <c r="F168" s="118">
        <v>5</v>
      </c>
      <c r="G168" s="402">
        <v>0</v>
      </c>
      <c r="H168" s="402">
        <v>0</v>
      </c>
      <c r="I168" s="404">
        <f t="shared" si="122"/>
        <v>5</v>
      </c>
      <c r="J168" s="402">
        <v>0</v>
      </c>
      <c r="K168" s="402">
        <v>0</v>
      </c>
      <c r="L168" s="118">
        <v>5</v>
      </c>
      <c r="M168" s="402">
        <v>0</v>
      </c>
      <c r="N168" s="402">
        <v>0</v>
      </c>
      <c r="O168" s="21">
        <v>0</v>
      </c>
      <c r="P168" s="404">
        <f t="shared" si="124"/>
        <v>5</v>
      </c>
      <c r="Q168" s="402">
        <v>0</v>
      </c>
      <c r="R168" s="402">
        <v>0</v>
      </c>
      <c r="S168" s="118">
        <v>5</v>
      </c>
      <c r="T168" s="402">
        <v>0</v>
      </c>
      <c r="U168" s="171">
        <v>0</v>
      </c>
    </row>
    <row r="169" spans="1:22" ht="49.5" customHeight="1" x14ac:dyDescent="0.25">
      <c r="A169" s="26"/>
      <c r="B169" s="344" t="s">
        <v>128</v>
      </c>
      <c r="C169" s="404">
        <v>0</v>
      </c>
      <c r="D169" s="21">
        <v>0</v>
      </c>
      <c r="E169" s="21">
        <v>0</v>
      </c>
      <c r="F169" s="118">
        <v>5.26</v>
      </c>
      <c r="G169" s="21">
        <v>0</v>
      </c>
      <c r="H169" s="21">
        <v>0</v>
      </c>
      <c r="I169" s="404">
        <f t="shared" si="122"/>
        <v>5.26</v>
      </c>
      <c r="J169" s="402">
        <v>0</v>
      </c>
      <c r="K169" s="402">
        <v>0</v>
      </c>
      <c r="L169" s="118">
        <v>5.26</v>
      </c>
      <c r="M169" s="402">
        <v>0</v>
      </c>
      <c r="N169" s="402">
        <v>0</v>
      </c>
      <c r="O169" s="21">
        <v>0</v>
      </c>
      <c r="P169" s="404">
        <f t="shared" si="124"/>
        <v>5.26</v>
      </c>
      <c r="Q169" s="402">
        <v>0</v>
      </c>
      <c r="R169" s="402">
        <v>0</v>
      </c>
      <c r="S169" s="118">
        <v>5.26</v>
      </c>
      <c r="T169" s="402">
        <v>0</v>
      </c>
      <c r="U169" s="171">
        <v>0</v>
      </c>
    </row>
    <row r="170" spans="1:22" ht="19.5" customHeight="1" x14ac:dyDescent="0.25">
      <c r="A170" s="26"/>
      <c r="B170" s="39" t="s">
        <v>129</v>
      </c>
      <c r="C170" s="404">
        <v>0</v>
      </c>
      <c r="D170" s="21">
        <v>0</v>
      </c>
      <c r="E170" s="21">
        <v>0</v>
      </c>
      <c r="F170" s="118">
        <v>15</v>
      </c>
      <c r="G170" s="21">
        <v>0</v>
      </c>
      <c r="H170" s="21">
        <v>0</v>
      </c>
      <c r="I170" s="404">
        <f t="shared" si="122"/>
        <v>15</v>
      </c>
      <c r="J170" s="402">
        <v>0</v>
      </c>
      <c r="K170" s="402">
        <v>0</v>
      </c>
      <c r="L170" s="118">
        <v>15</v>
      </c>
      <c r="M170" s="402">
        <v>0</v>
      </c>
      <c r="N170" s="402">
        <v>0</v>
      </c>
      <c r="O170" s="21">
        <v>0</v>
      </c>
      <c r="P170" s="404">
        <f t="shared" si="124"/>
        <v>15</v>
      </c>
      <c r="Q170" s="402">
        <v>0</v>
      </c>
      <c r="R170" s="402">
        <v>0</v>
      </c>
      <c r="S170" s="118">
        <v>15</v>
      </c>
      <c r="T170" s="402">
        <v>0</v>
      </c>
      <c r="U170" s="171">
        <v>0</v>
      </c>
    </row>
    <row r="171" spans="1:22" ht="20.25" customHeight="1" x14ac:dyDescent="0.25">
      <c r="A171" s="26"/>
      <c r="B171" s="39" t="s">
        <v>130</v>
      </c>
      <c r="C171" s="404">
        <v>0</v>
      </c>
      <c r="D171" s="21">
        <v>0</v>
      </c>
      <c r="E171" s="21">
        <v>0</v>
      </c>
      <c r="F171" s="118">
        <v>5</v>
      </c>
      <c r="G171" s="21">
        <v>0</v>
      </c>
      <c r="H171" s="21">
        <v>0</v>
      </c>
      <c r="I171" s="404">
        <f t="shared" si="122"/>
        <v>5</v>
      </c>
      <c r="J171" s="402">
        <v>0</v>
      </c>
      <c r="K171" s="402">
        <v>0</v>
      </c>
      <c r="L171" s="118">
        <v>5</v>
      </c>
      <c r="M171" s="402">
        <v>0</v>
      </c>
      <c r="N171" s="402">
        <v>0</v>
      </c>
      <c r="O171" s="21">
        <v>0</v>
      </c>
      <c r="P171" s="404">
        <f t="shared" si="124"/>
        <v>5</v>
      </c>
      <c r="Q171" s="402">
        <v>0</v>
      </c>
      <c r="R171" s="402">
        <v>0</v>
      </c>
      <c r="S171" s="118">
        <v>5</v>
      </c>
      <c r="T171" s="402">
        <v>0</v>
      </c>
      <c r="U171" s="171">
        <v>0</v>
      </c>
    </row>
    <row r="172" spans="1:22" ht="21.75" customHeight="1" x14ac:dyDescent="0.25">
      <c r="A172" s="26"/>
      <c r="B172" s="39" t="s">
        <v>131</v>
      </c>
      <c r="C172" s="404">
        <v>0</v>
      </c>
      <c r="D172" s="402">
        <v>0</v>
      </c>
      <c r="E172" s="402">
        <v>0</v>
      </c>
      <c r="F172" s="118">
        <v>30</v>
      </c>
      <c r="G172" s="402">
        <v>0</v>
      </c>
      <c r="H172" s="402">
        <v>0</v>
      </c>
      <c r="I172" s="404">
        <f t="shared" si="122"/>
        <v>30</v>
      </c>
      <c r="J172" s="402">
        <v>0</v>
      </c>
      <c r="K172" s="402">
        <v>0</v>
      </c>
      <c r="L172" s="118">
        <v>30</v>
      </c>
      <c r="M172" s="402">
        <v>0</v>
      </c>
      <c r="N172" s="402">
        <v>0</v>
      </c>
      <c r="O172" s="21">
        <v>0</v>
      </c>
      <c r="P172" s="404">
        <f t="shared" si="124"/>
        <v>30</v>
      </c>
      <c r="Q172" s="402">
        <v>0</v>
      </c>
      <c r="R172" s="402"/>
      <c r="S172" s="118">
        <v>30</v>
      </c>
      <c r="T172" s="402">
        <v>0</v>
      </c>
      <c r="U172" s="171"/>
    </row>
    <row r="173" spans="1:22" ht="31.5" x14ac:dyDescent="0.25">
      <c r="A173" s="52">
        <v>11</v>
      </c>
      <c r="B173" s="167" t="s">
        <v>132</v>
      </c>
      <c r="C173" s="172">
        <f>SUM(F173:H173)</f>
        <v>2215.6999999999998</v>
      </c>
      <c r="D173" s="172">
        <v>0</v>
      </c>
      <c r="E173" s="172">
        <v>0</v>
      </c>
      <c r="F173" s="172">
        <f>SUM(F174:F190)</f>
        <v>2215.6999999999998</v>
      </c>
      <c r="G173" s="172">
        <f>SUM(G174:G190)</f>
        <v>0</v>
      </c>
      <c r="H173" s="172">
        <v>0</v>
      </c>
      <c r="I173" s="404">
        <f t="shared" si="122"/>
        <v>2327.4371199999996</v>
      </c>
      <c r="J173" s="172">
        <v>0</v>
      </c>
      <c r="K173" s="172">
        <f t="shared" ref="K173:N173" si="148">SUM(K174:K190)</f>
        <v>0</v>
      </c>
      <c r="L173" s="51">
        <f>SUM(L174:L192)</f>
        <v>2327.4371199999996</v>
      </c>
      <c r="M173" s="172">
        <f t="shared" si="148"/>
        <v>0</v>
      </c>
      <c r="N173" s="172">
        <f t="shared" si="148"/>
        <v>0</v>
      </c>
      <c r="O173" s="172"/>
      <c r="P173" s="404">
        <f t="shared" si="124"/>
        <v>2327.23387</v>
      </c>
      <c r="Q173" s="120">
        <v>0</v>
      </c>
      <c r="R173" s="172">
        <f t="shared" ref="R173:U173" si="149">SUM(R174:R190)</f>
        <v>0</v>
      </c>
      <c r="S173" s="51">
        <f>SUM(S174:S192)</f>
        <v>2327.23387</v>
      </c>
      <c r="T173" s="172">
        <f t="shared" si="149"/>
        <v>0</v>
      </c>
      <c r="U173" s="172">
        <f t="shared" si="149"/>
        <v>0</v>
      </c>
      <c r="V173" s="174"/>
    </row>
    <row r="174" spans="1:22" x14ac:dyDescent="0.25">
      <c r="A174" s="46"/>
      <c r="B174" s="82" t="s">
        <v>136</v>
      </c>
      <c r="C174" s="172">
        <v>0</v>
      </c>
      <c r="D174" s="161">
        <v>0</v>
      </c>
      <c r="E174" s="161">
        <v>0</v>
      </c>
      <c r="F174" s="161">
        <v>0</v>
      </c>
      <c r="G174" s="161">
        <v>0</v>
      </c>
      <c r="H174" s="161">
        <v>0</v>
      </c>
      <c r="I174" s="404">
        <f t="shared" ref="I174" si="150">SUM(J174:N174)</f>
        <v>617.43712000000005</v>
      </c>
      <c r="J174" s="171">
        <v>0</v>
      </c>
      <c r="K174" s="171">
        <v>0</v>
      </c>
      <c r="L174" s="419">
        <v>617.43712000000005</v>
      </c>
      <c r="M174" s="171">
        <v>0</v>
      </c>
      <c r="N174" s="171">
        <v>0</v>
      </c>
      <c r="O174" s="171"/>
      <c r="P174" s="404">
        <f t="shared" ref="P174" si="151">SUM(Q174:U174)</f>
        <v>617.43687</v>
      </c>
      <c r="Q174" s="171">
        <v>0</v>
      </c>
      <c r="R174" s="171">
        <v>0</v>
      </c>
      <c r="S174" s="419">
        <v>617.43687</v>
      </c>
      <c r="T174" s="171">
        <v>0</v>
      </c>
      <c r="U174" s="171">
        <v>0</v>
      </c>
      <c r="V174" s="174"/>
    </row>
    <row r="175" spans="1:22" x14ac:dyDescent="0.25">
      <c r="A175" s="46"/>
      <c r="B175" s="27" t="s">
        <v>737</v>
      </c>
      <c r="C175" s="172">
        <f t="shared" ref="C175" si="152">SUM(F175:H175)</f>
        <v>30</v>
      </c>
      <c r="D175" s="161">
        <v>0</v>
      </c>
      <c r="E175" s="161">
        <v>0</v>
      </c>
      <c r="F175" s="170">
        <v>30</v>
      </c>
      <c r="G175" s="161">
        <v>0</v>
      </c>
      <c r="H175" s="161">
        <v>0</v>
      </c>
      <c r="I175" s="404">
        <f t="shared" ref="I175" si="153">SUM(J175:N175)</f>
        <v>26.8</v>
      </c>
      <c r="J175" s="171">
        <v>0</v>
      </c>
      <c r="K175" s="171">
        <v>0</v>
      </c>
      <c r="L175" s="121">
        <v>26.8</v>
      </c>
      <c r="M175" s="171">
        <v>0</v>
      </c>
      <c r="N175" s="171">
        <v>0</v>
      </c>
      <c r="O175" s="171"/>
      <c r="P175" s="404">
        <f t="shared" ref="P175" si="154">SUM(Q175:U175)</f>
        <v>26.8</v>
      </c>
      <c r="Q175" s="171">
        <v>0</v>
      </c>
      <c r="R175" s="171">
        <v>0</v>
      </c>
      <c r="S175" s="414">
        <v>26.8</v>
      </c>
      <c r="T175" s="171">
        <v>0</v>
      </c>
      <c r="U175" s="171"/>
      <c r="V175" s="174"/>
    </row>
    <row r="176" spans="1:22" x14ac:dyDescent="0.25">
      <c r="A176" s="46"/>
      <c r="B176" s="27" t="s">
        <v>741</v>
      </c>
      <c r="C176" s="172">
        <v>0</v>
      </c>
      <c r="D176" s="161">
        <v>0</v>
      </c>
      <c r="E176" s="161">
        <v>0</v>
      </c>
      <c r="F176" s="161">
        <v>0</v>
      </c>
      <c r="G176" s="161">
        <v>0</v>
      </c>
      <c r="H176" s="161">
        <v>0</v>
      </c>
      <c r="I176" s="404">
        <f t="shared" ref="I176:I177" si="155">SUM(J176:N176)</f>
        <v>27</v>
      </c>
      <c r="J176" s="171">
        <v>0</v>
      </c>
      <c r="K176" s="171">
        <v>0</v>
      </c>
      <c r="L176" s="121">
        <v>27</v>
      </c>
      <c r="M176" s="171">
        <v>0</v>
      </c>
      <c r="N176" s="171">
        <v>0</v>
      </c>
      <c r="O176" s="171"/>
      <c r="P176" s="404">
        <f t="shared" ref="P176:P177" si="156">SUM(Q176:U176)</f>
        <v>27</v>
      </c>
      <c r="Q176" s="171">
        <v>0</v>
      </c>
      <c r="R176" s="171">
        <v>0</v>
      </c>
      <c r="S176" s="124">
        <v>27</v>
      </c>
      <c r="T176" s="171">
        <v>0</v>
      </c>
      <c r="U176" s="171">
        <v>0</v>
      </c>
      <c r="V176" s="174"/>
    </row>
    <row r="177" spans="1:23" ht="47.25" x14ac:dyDescent="0.25">
      <c r="A177" s="46"/>
      <c r="B177" s="316" t="s">
        <v>740</v>
      </c>
      <c r="C177" s="172">
        <v>0</v>
      </c>
      <c r="D177" s="161">
        <v>0</v>
      </c>
      <c r="E177" s="161">
        <v>0</v>
      </c>
      <c r="F177" s="161">
        <v>0</v>
      </c>
      <c r="G177" s="161">
        <v>0</v>
      </c>
      <c r="H177" s="161">
        <v>0</v>
      </c>
      <c r="I177" s="404">
        <f t="shared" si="155"/>
        <v>28.25</v>
      </c>
      <c r="J177" s="171">
        <v>0</v>
      </c>
      <c r="K177" s="171">
        <v>0</v>
      </c>
      <c r="L177" s="121">
        <v>28.25</v>
      </c>
      <c r="M177" s="171">
        <v>0</v>
      </c>
      <c r="N177" s="171">
        <v>0</v>
      </c>
      <c r="O177" s="171"/>
      <c r="P177" s="404">
        <f t="shared" si="156"/>
        <v>28.25</v>
      </c>
      <c r="Q177" s="171">
        <v>0</v>
      </c>
      <c r="R177" s="171">
        <v>0</v>
      </c>
      <c r="S177" s="124">
        <v>28.25</v>
      </c>
      <c r="T177" s="171">
        <v>0</v>
      </c>
      <c r="U177" s="171">
        <v>0</v>
      </c>
      <c r="V177" s="174"/>
    </row>
    <row r="178" spans="1:23" ht="63" x14ac:dyDescent="0.25">
      <c r="A178" s="46"/>
      <c r="B178" s="316" t="s">
        <v>742</v>
      </c>
      <c r="C178" s="172">
        <f t="shared" ref="C178:C180" si="157">SUM(F178:H178)</f>
        <v>323.7</v>
      </c>
      <c r="D178" s="161">
        <v>0</v>
      </c>
      <c r="E178" s="161">
        <v>0</v>
      </c>
      <c r="F178" s="170">
        <v>323.7</v>
      </c>
      <c r="G178" s="161">
        <v>0</v>
      </c>
      <c r="H178" s="161">
        <v>0</v>
      </c>
      <c r="I178" s="404">
        <f t="shared" ref="I178:I180" si="158">SUM(J178:N178)</f>
        <v>200</v>
      </c>
      <c r="J178" s="171">
        <v>0</v>
      </c>
      <c r="K178" s="171">
        <v>0</v>
      </c>
      <c r="L178" s="121">
        <v>200</v>
      </c>
      <c r="M178" s="171">
        <v>0</v>
      </c>
      <c r="N178" s="171">
        <v>0</v>
      </c>
      <c r="O178" s="171"/>
      <c r="P178" s="404">
        <f t="shared" ref="P178:P180" si="159">SUM(Q178:U178)</f>
        <v>200</v>
      </c>
      <c r="Q178" s="171">
        <v>0</v>
      </c>
      <c r="R178" s="171">
        <v>0</v>
      </c>
      <c r="S178" s="121">
        <v>200</v>
      </c>
      <c r="T178" s="171">
        <v>0</v>
      </c>
      <c r="U178" s="171">
        <v>0</v>
      </c>
      <c r="V178" s="174"/>
    </row>
    <row r="179" spans="1:23" ht="47.25" x14ac:dyDescent="0.25">
      <c r="A179" s="46"/>
      <c r="B179" s="316" t="s">
        <v>739</v>
      </c>
      <c r="C179" s="172">
        <f t="shared" si="157"/>
        <v>500</v>
      </c>
      <c r="D179" s="161">
        <v>0</v>
      </c>
      <c r="E179" s="161">
        <v>0</v>
      </c>
      <c r="F179" s="170">
        <v>500</v>
      </c>
      <c r="G179" s="161">
        <v>0</v>
      </c>
      <c r="H179" s="161">
        <v>0</v>
      </c>
      <c r="I179" s="404">
        <f t="shared" si="158"/>
        <v>321.75</v>
      </c>
      <c r="J179" s="171">
        <v>0</v>
      </c>
      <c r="K179" s="171">
        <v>0</v>
      </c>
      <c r="L179" s="121">
        <v>321.75</v>
      </c>
      <c r="M179" s="171">
        <v>0</v>
      </c>
      <c r="N179" s="171">
        <v>0</v>
      </c>
      <c r="O179" s="171"/>
      <c r="P179" s="404">
        <f t="shared" si="159"/>
        <v>321.54700000000003</v>
      </c>
      <c r="Q179" s="171">
        <v>0</v>
      </c>
      <c r="R179" s="171">
        <v>0</v>
      </c>
      <c r="S179" s="123">
        <v>321.54700000000003</v>
      </c>
      <c r="T179" s="171">
        <v>0</v>
      </c>
      <c r="U179" s="171">
        <v>0</v>
      </c>
      <c r="V179" s="174"/>
      <c r="W179" s="322"/>
    </row>
    <row r="180" spans="1:23" ht="21.75" customHeight="1" x14ac:dyDescent="0.25">
      <c r="A180" s="469"/>
      <c r="B180" s="27" t="s">
        <v>974</v>
      </c>
      <c r="C180" s="172">
        <f t="shared" si="157"/>
        <v>50</v>
      </c>
      <c r="D180" s="161">
        <v>0</v>
      </c>
      <c r="E180" s="161">
        <v>0</v>
      </c>
      <c r="F180" s="121">
        <v>50</v>
      </c>
      <c r="G180" s="161">
        <v>0</v>
      </c>
      <c r="H180" s="161">
        <v>0</v>
      </c>
      <c r="I180" s="404">
        <f t="shared" si="158"/>
        <v>39.86</v>
      </c>
      <c r="J180" s="171">
        <v>0</v>
      </c>
      <c r="K180" s="171">
        <v>0</v>
      </c>
      <c r="L180" s="121">
        <v>39.86</v>
      </c>
      <c r="M180" s="171">
        <v>0</v>
      </c>
      <c r="N180" s="171">
        <v>0</v>
      </c>
      <c r="O180" s="171"/>
      <c r="P180" s="404">
        <f t="shared" si="159"/>
        <v>39.86</v>
      </c>
      <c r="Q180" s="171">
        <v>0</v>
      </c>
      <c r="R180" s="171">
        <v>0</v>
      </c>
      <c r="S180" s="124">
        <v>39.86</v>
      </c>
      <c r="T180" s="171">
        <v>0</v>
      </c>
      <c r="U180" s="171">
        <v>0</v>
      </c>
      <c r="W180" s="322"/>
    </row>
    <row r="181" spans="1:23" ht="19.5" customHeight="1" x14ac:dyDescent="0.25">
      <c r="A181" s="469"/>
      <c r="B181" s="27" t="s">
        <v>975</v>
      </c>
      <c r="C181" s="36">
        <v>0</v>
      </c>
      <c r="D181" s="161">
        <v>0</v>
      </c>
      <c r="E181" s="161">
        <v>0</v>
      </c>
      <c r="F181" s="161">
        <v>0</v>
      </c>
      <c r="G181" s="161">
        <v>0</v>
      </c>
      <c r="H181" s="161">
        <v>0</v>
      </c>
      <c r="I181" s="404">
        <f t="shared" ref="I181" si="160">SUM(J181:N181)</f>
        <v>19</v>
      </c>
      <c r="J181" s="171">
        <v>0</v>
      </c>
      <c r="K181" s="171">
        <v>0</v>
      </c>
      <c r="L181" s="170">
        <v>19</v>
      </c>
      <c r="M181" s="171">
        <v>0</v>
      </c>
      <c r="N181" s="171">
        <v>0</v>
      </c>
      <c r="O181" s="171"/>
      <c r="P181" s="404">
        <f t="shared" ref="P181" si="161">SUM(Q181:U181)</f>
        <v>19</v>
      </c>
      <c r="Q181" s="171">
        <v>0</v>
      </c>
      <c r="R181" s="171">
        <v>0</v>
      </c>
      <c r="S181" s="171">
        <v>19</v>
      </c>
      <c r="T181" s="171">
        <v>0</v>
      </c>
      <c r="U181" s="171">
        <v>0</v>
      </c>
    </row>
    <row r="182" spans="1:23" ht="50.25" customHeight="1" x14ac:dyDescent="0.25">
      <c r="A182" s="469"/>
      <c r="B182" s="34" t="s">
        <v>135</v>
      </c>
      <c r="C182" s="172">
        <f>SUM(F182:H182)</f>
        <v>100</v>
      </c>
      <c r="D182" s="161">
        <v>0</v>
      </c>
      <c r="E182" s="161">
        <v>0</v>
      </c>
      <c r="F182" s="170">
        <v>100</v>
      </c>
      <c r="G182" s="161">
        <v>0</v>
      </c>
      <c r="H182" s="161">
        <v>0</v>
      </c>
      <c r="I182" s="404">
        <f t="shared" si="122"/>
        <v>18</v>
      </c>
      <c r="J182" s="171">
        <v>0</v>
      </c>
      <c r="K182" s="171">
        <v>0</v>
      </c>
      <c r="L182" s="170">
        <v>18</v>
      </c>
      <c r="M182" s="171">
        <v>0</v>
      </c>
      <c r="N182" s="171">
        <v>0</v>
      </c>
      <c r="O182" s="171"/>
      <c r="P182" s="404">
        <f t="shared" si="124"/>
        <v>18</v>
      </c>
      <c r="Q182" s="171">
        <v>0</v>
      </c>
      <c r="R182" s="171">
        <v>0</v>
      </c>
      <c r="S182" s="171">
        <v>18</v>
      </c>
      <c r="T182" s="171">
        <v>0</v>
      </c>
      <c r="U182" s="171">
        <v>0</v>
      </c>
      <c r="V182" s="321"/>
      <c r="W182" s="322"/>
    </row>
    <row r="183" spans="1:23" ht="20.25" customHeight="1" x14ac:dyDescent="0.25">
      <c r="A183" s="469"/>
      <c r="B183" s="27" t="s">
        <v>738</v>
      </c>
      <c r="C183" s="172">
        <v>0</v>
      </c>
      <c r="D183" s="161">
        <v>0</v>
      </c>
      <c r="E183" s="161">
        <v>0</v>
      </c>
      <c r="F183" s="161">
        <v>0</v>
      </c>
      <c r="G183" s="161">
        <v>0</v>
      </c>
      <c r="H183" s="161">
        <v>0</v>
      </c>
      <c r="I183" s="404">
        <f t="shared" ref="I183" si="162">SUM(J183:N183)</f>
        <v>0</v>
      </c>
      <c r="J183" s="171">
        <v>0</v>
      </c>
      <c r="K183" s="171">
        <v>0</v>
      </c>
      <c r="L183" s="121"/>
      <c r="M183" s="171">
        <v>0</v>
      </c>
      <c r="N183" s="171">
        <v>0</v>
      </c>
      <c r="O183" s="171"/>
      <c r="P183" s="404">
        <f t="shared" ref="P183" si="163">SUM(Q183:U183)</f>
        <v>0</v>
      </c>
      <c r="Q183" s="171">
        <v>0</v>
      </c>
      <c r="R183" s="171">
        <v>0</v>
      </c>
      <c r="S183" s="171">
        <v>0</v>
      </c>
      <c r="T183" s="171">
        <v>0</v>
      </c>
      <c r="U183" s="171"/>
      <c r="V183" s="322"/>
    </row>
    <row r="184" spans="1:23" ht="31.5" x14ac:dyDescent="0.25">
      <c r="A184" s="469"/>
      <c r="B184" s="316" t="s">
        <v>743</v>
      </c>
      <c r="C184" s="172">
        <f t="shared" ref="C184:C185" si="164">SUM(F184:H184)</f>
        <v>30</v>
      </c>
      <c r="D184" s="161">
        <v>0</v>
      </c>
      <c r="E184" s="161">
        <v>0</v>
      </c>
      <c r="F184" s="170">
        <v>30</v>
      </c>
      <c r="G184" s="161">
        <v>0</v>
      </c>
      <c r="H184" s="161">
        <v>0</v>
      </c>
      <c r="I184" s="404">
        <f t="shared" si="122"/>
        <v>99</v>
      </c>
      <c r="J184" s="171">
        <v>0</v>
      </c>
      <c r="K184" s="171">
        <v>0</v>
      </c>
      <c r="L184" s="121">
        <v>99</v>
      </c>
      <c r="M184" s="171">
        <v>0</v>
      </c>
      <c r="N184" s="171">
        <v>0</v>
      </c>
      <c r="O184" s="171"/>
      <c r="P184" s="404">
        <f t="shared" si="124"/>
        <v>99</v>
      </c>
      <c r="Q184" s="171">
        <v>0</v>
      </c>
      <c r="R184" s="171">
        <v>0</v>
      </c>
      <c r="S184" s="123">
        <v>99</v>
      </c>
      <c r="T184" s="171">
        <v>0</v>
      </c>
      <c r="U184" s="171">
        <v>0</v>
      </c>
    </row>
    <row r="185" spans="1:23" ht="16.5" customHeight="1" x14ac:dyDescent="0.25">
      <c r="A185" s="469"/>
      <c r="B185" s="37" t="s">
        <v>133</v>
      </c>
      <c r="C185" s="172">
        <f t="shared" si="164"/>
        <v>35</v>
      </c>
      <c r="D185" s="161">
        <v>0</v>
      </c>
      <c r="E185" s="161">
        <v>0</v>
      </c>
      <c r="F185" s="121">
        <v>35</v>
      </c>
      <c r="G185" s="161">
        <v>0</v>
      </c>
      <c r="H185" s="161">
        <v>0</v>
      </c>
      <c r="I185" s="404">
        <f t="shared" si="122"/>
        <v>35</v>
      </c>
      <c r="J185" s="171">
        <v>0</v>
      </c>
      <c r="K185" s="171">
        <v>0</v>
      </c>
      <c r="L185" s="121">
        <v>35</v>
      </c>
      <c r="M185" s="171">
        <v>0</v>
      </c>
      <c r="N185" s="171">
        <v>0</v>
      </c>
      <c r="O185" s="171"/>
      <c r="P185" s="404">
        <f t="shared" si="124"/>
        <v>35</v>
      </c>
      <c r="Q185" s="171">
        <v>0</v>
      </c>
      <c r="R185" s="171">
        <v>0</v>
      </c>
      <c r="S185" s="124">
        <v>35</v>
      </c>
      <c r="T185" s="171">
        <v>0</v>
      </c>
      <c r="U185" s="171">
        <v>0</v>
      </c>
    </row>
    <row r="186" spans="1:23" ht="36.75" customHeight="1" x14ac:dyDescent="0.25">
      <c r="A186" s="469"/>
      <c r="B186" s="317" t="s">
        <v>760</v>
      </c>
      <c r="C186" s="36">
        <v>0</v>
      </c>
      <c r="D186" s="161">
        <v>0</v>
      </c>
      <c r="E186" s="314">
        <v>0</v>
      </c>
      <c r="F186" s="161">
        <v>0</v>
      </c>
      <c r="G186" s="161">
        <v>0</v>
      </c>
      <c r="H186" s="161">
        <v>0</v>
      </c>
      <c r="I186" s="404">
        <f t="shared" si="122"/>
        <v>44.14</v>
      </c>
      <c r="J186" s="171">
        <v>0</v>
      </c>
      <c r="K186" s="171">
        <v>0</v>
      </c>
      <c r="L186" s="170">
        <v>44.14</v>
      </c>
      <c r="M186" s="171">
        <v>0</v>
      </c>
      <c r="N186" s="171">
        <v>0</v>
      </c>
      <c r="O186" s="171"/>
      <c r="P186" s="404">
        <f t="shared" si="124"/>
        <v>44.14</v>
      </c>
      <c r="Q186" s="171">
        <v>0</v>
      </c>
      <c r="R186" s="171">
        <v>0</v>
      </c>
      <c r="S186" s="171">
        <v>44.14</v>
      </c>
      <c r="T186" s="171">
        <v>0</v>
      </c>
      <c r="U186" s="171">
        <v>0</v>
      </c>
    </row>
    <row r="187" spans="1:23" ht="53.25" customHeight="1" x14ac:dyDescent="0.25">
      <c r="A187" s="469"/>
      <c r="B187" s="80" t="s">
        <v>757</v>
      </c>
      <c r="C187" s="172">
        <f t="shared" ref="C187:C191" si="165">SUM(F187:H187)</f>
        <v>100</v>
      </c>
      <c r="D187" s="161">
        <v>0</v>
      </c>
      <c r="E187" s="161">
        <v>0</v>
      </c>
      <c r="F187" s="170">
        <v>100</v>
      </c>
      <c r="G187" s="161">
        <v>0</v>
      </c>
      <c r="H187" s="161">
        <v>0</v>
      </c>
      <c r="I187" s="404">
        <f t="shared" ref="I187:I192" si="166">SUM(J187:N187)</f>
        <v>0</v>
      </c>
      <c r="J187" s="171">
        <v>0</v>
      </c>
      <c r="K187" s="171">
        <v>0</v>
      </c>
      <c r="L187" s="121"/>
      <c r="M187" s="171">
        <v>0</v>
      </c>
      <c r="N187" s="171">
        <v>0</v>
      </c>
      <c r="O187" s="171"/>
      <c r="P187" s="404">
        <f t="shared" ref="P187:P192" si="167">SUM(Q187:U187)</f>
        <v>0</v>
      </c>
      <c r="Q187" s="122"/>
      <c r="R187" s="122"/>
      <c r="S187" s="123"/>
      <c r="T187" s="171"/>
      <c r="U187" s="171"/>
    </row>
    <row r="188" spans="1:23" ht="49.5" customHeight="1" x14ac:dyDescent="0.25">
      <c r="A188" s="469"/>
      <c r="B188" s="80" t="s">
        <v>758</v>
      </c>
      <c r="C188" s="172">
        <f t="shared" si="165"/>
        <v>1000</v>
      </c>
      <c r="D188" s="161">
        <v>0</v>
      </c>
      <c r="E188" s="161">
        <v>0</v>
      </c>
      <c r="F188" s="170">
        <v>1000</v>
      </c>
      <c r="G188" s="161">
        <v>0</v>
      </c>
      <c r="H188" s="161">
        <v>0</v>
      </c>
      <c r="I188" s="404">
        <f t="shared" si="166"/>
        <v>0</v>
      </c>
      <c r="J188" s="171"/>
      <c r="K188" s="171"/>
      <c r="L188" s="121"/>
      <c r="M188" s="171"/>
      <c r="N188" s="171"/>
      <c r="O188" s="171"/>
      <c r="P188" s="404">
        <f t="shared" si="167"/>
        <v>0</v>
      </c>
      <c r="Q188" s="122"/>
      <c r="R188" s="122"/>
      <c r="S188" s="123"/>
      <c r="T188" s="171"/>
      <c r="U188" s="171"/>
    </row>
    <row r="189" spans="1:23" ht="23.25" customHeight="1" x14ac:dyDescent="0.25">
      <c r="A189" s="469"/>
      <c r="B189" s="37" t="s">
        <v>759</v>
      </c>
      <c r="C189" s="172">
        <f t="shared" si="165"/>
        <v>30</v>
      </c>
      <c r="D189" s="161">
        <v>0</v>
      </c>
      <c r="E189" s="161">
        <v>0</v>
      </c>
      <c r="F189" s="170">
        <v>30</v>
      </c>
      <c r="G189" s="161">
        <v>0</v>
      </c>
      <c r="H189" s="161">
        <v>0</v>
      </c>
      <c r="I189" s="404">
        <f t="shared" si="166"/>
        <v>0</v>
      </c>
      <c r="J189" s="171"/>
      <c r="K189" s="171"/>
      <c r="L189" s="121"/>
      <c r="M189" s="171">
        <v>0</v>
      </c>
      <c r="N189" s="171">
        <v>0</v>
      </c>
      <c r="O189" s="171"/>
      <c r="P189" s="404">
        <f t="shared" si="167"/>
        <v>0</v>
      </c>
      <c r="Q189" s="171">
        <v>0</v>
      </c>
      <c r="R189" s="171">
        <v>0</v>
      </c>
      <c r="S189" s="123"/>
      <c r="T189" s="171">
        <v>0</v>
      </c>
      <c r="U189" s="171">
        <v>0</v>
      </c>
    </row>
    <row r="190" spans="1:23" ht="46.5" customHeight="1" x14ac:dyDescent="0.25">
      <c r="A190" s="469"/>
      <c r="B190" s="81" t="s">
        <v>134</v>
      </c>
      <c r="C190" s="172">
        <f t="shared" si="165"/>
        <v>17</v>
      </c>
      <c r="D190" s="161">
        <v>0</v>
      </c>
      <c r="E190" s="161">
        <v>0</v>
      </c>
      <c r="F190" s="170">
        <v>17</v>
      </c>
      <c r="G190" s="161">
        <v>0</v>
      </c>
      <c r="H190" s="161">
        <v>0</v>
      </c>
      <c r="I190" s="404">
        <f t="shared" si="166"/>
        <v>0</v>
      </c>
      <c r="J190" s="171">
        <v>0</v>
      </c>
      <c r="K190" s="171">
        <v>0</v>
      </c>
      <c r="L190" s="170"/>
      <c r="M190" s="171">
        <v>0</v>
      </c>
      <c r="N190" s="171">
        <v>0</v>
      </c>
      <c r="O190" s="171"/>
      <c r="P190" s="404">
        <f t="shared" si="167"/>
        <v>0</v>
      </c>
      <c r="Q190" s="171">
        <v>0</v>
      </c>
      <c r="R190" s="171">
        <v>0</v>
      </c>
      <c r="S190" s="123"/>
      <c r="T190" s="171">
        <v>0</v>
      </c>
      <c r="U190" s="171">
        <v>0</v>
      </c>
    </row>
    <row r="191" spans="1:23" ht="20.25" customHeight="1" x14ac:dyDescent="0.25">
      <c r="A191" s="469"/>
      <c r="B191" s="27" t="s">
        <v>736</v>
      </c>
      <c r="C191" s="172">
        <f t="shared" si="165"/>
        <v>1000</v>
      </c>
      <c r="D191" s="161">
        <v>0</v>
      </c>
      <c r="E191" s="161">
        <v>0</v>
      </c>
      <c r="F191" s="170"/>
      <c r="G191" s="170">
        <v>1000</v>
      </c>
      <c r="H191" s="161">
        <v>0</v>
      </c>
      <c r="I191" s="404">
        <f t="shared" si="166"/>
        <v>750</v>
      </c>
      <c r="J191" s="171">
        <v>0</v>
      </c>
      <c r="K191" s="171"/>
      <c r="L191" s="121">
        <v>750</v>
      </c>
      <c r="M191" s="171"/>
      <c r="N191" s="171"/>
      <c r="O191" s="171"/>
      <c r="P191" s="404">
        <f t="shared" si="167"/>
        <v>750</v>
      </c>
      <c r="Q191" s="171">
        <v>0</v>
      </c>
      <c r="R191" s="122"/>
      <c r="S191" s="123">
        <v>750</v>
      </c>
      <c r="T191" s="171"/>
      <c r="U191" s="171"/>
    </row>
    <row r="192" spans="1:23" x14ac:dyDescent="0.25">
      <c r="A192" s="469"/>
      <c r="B192" s="323" t="s">
        <v>1021</v>
      </c>
      <c r="C192" s="172"/>
      <c r="D192" s="161"/>
      <c r="E192" s="161"/>
      <c r="F192" s="170"/>
      <c r="G192" s="170"/>
      <c r="H192" s="161"/>
      <c r="I192" s="404">
        <f t="shared" si="166"/>
        <v>101.2</v>
      </c>
      <c r="J192" s="171"/>
      <c r="K192" s="171"/>
      <c r="L192" s="121">
        <v>101.2</v>
      </c>
      <c r="M192" s="171"/>
      <c r="N192" s="171"/>
      <c r="O192" s="171"/>
      <c r="P192" s="404">
        <f t="shared" si="167"/>
        <v>101.2</v>
      </c>
      <c r="Q192" s="171"/>
      <c r="R192" s="122"/>
      <c r="S192" s="123">
        <v>101.2</v>
      </c>
      <c r="T192" s="171"/>
      <c r="U192" s="171"/>
    </row>
    <row r="193" spans="1:22" ht="33.75" customHeight="1" x14ac:dyDescent="0.25">
      <c r="A193" s="52">
        <v>12</v>
      </c>
      <c r="B193" s="42" t="s">
        <v>137</v>
      </c>
      <c r="C193" s="404">
        <f>SUM(D193:H193)</f>
        <v>9050</v>
      </c>
      <c r="D193" s="404">
        <f>D194+D196+D198+D201+D203+D205</f>
        <v>0</v>
      </c>
      <c r="E193" s="404">
        <f>E194+E196+E198+E201+E203+E205</f>
        <v>1000</v>
      </c>
      <c r="F193" s="404">
        <f>F194+F196+F198+F201+F203+F205+F200</f>
        <v>7050</v>
      </c>
      <c r="G193" s="404">
        <f t="shared" ref="G193:N193" si="168">G194+G196+G198+G201+G203+G205</f>
        <v>1000</v>
      </c>
      <c r="H193" s="404">
        <f t="shared" si="168"/>
        <v>0</v>
      </c>
      <c r="I193" s="404">
        <f>SUM(J193:N193)</f>
        <v>4942.1939999999995</v>
      </c>
      <c r="J193" s="404">
        <f t="shared" si="168"/>
        <v>0</v>
      </c>
      <c r="K193" s="404">
        <f t="shared" si="168"/>
        <v>0</v>
      </c>
      <c r="L193" s="404">
        <f>L194+L196+L198+L201+L203+L205+L200</f>
        <v>4942.1939999999995</v>
      </c>
      <c r="M193" s="404">
        <f t="shared" si="168"/>
        <v>0</v>
      </c>
      <c r="N193" s="404">
        <f t="shared" si="168"/>
        <v>0</v>
      </c>
      <c r="O193" s="51">
        <f>(I193/C193)*100</f>
        <v>54.609878453038675</v>
      </c>
      <c r="P193" s="404">
        <f t="shared" si="124"/>
        <v>4942.1939999999995</v>
      </c>
      <c r="Q193" s="168">
        <f>SUM(Q194:Q201)</f>
        <v>0</v>
      </c>
      <c r="R193" s="168">
        <f>SUM(R194:R201)</f>
        <v>0</v>
      </c>
      <c r="S193" s="404">
        <f>S194+S196+S198+S201+S203+S205+S200</f>
        <v>4942.1939999999995</v>
      </c>
      <c r="T193" s="168">
        <f>T194+T196+T198+T201+T203+T205</f>
        <v>0</v>
      </c>
      <c r="U193" s="168">
        <f>SUM(U194:U201)</f>
        <v>0</v>
      </c>
      <c r="V193" s="174"/>
    </row>
    <row r="194" spans="1:22" ht="33.75" customHeight="1" x14ac:dyDescent="0.25">
      <c r="A194" s="90"/>
      <c r="B194" s="107" t="s">
        <v>138</v>
      </c>
      <c r="C194" s="404">
        <f>SUM(D194:H194)</f>
        <v>0</v>
      </c>
      <c r="D194" s="402">
        <f>D195</f>
        <v>0</v>
      </c>
      <c r="E194" s="402">
        <f t="shared" ref="E194:H194" si="169">E195</f>
        <v>0</v>
      </c>
      <c r="F194" s="402">
        <f t="shared" si="169"/>
        <v>0</v>
      </c>
      <c r="G194" s="402">
        <f t="shared" si="169"/>
        <v>0</v>
      </c>
      <c r="H194" s="402">
        <f t="shared" si="169"/>
        <v>0</v>
      </c>
      <c r="I194" s="404">
        <f t="shared" ref="I194:I264" si="170">SUM(J194:N194)</f>
        <v>0</v>
      </c>
      <c r="J194" s="402">
        <f>J195</f>
        <v>0</v>
      </c>
      <c r="K194" s="402">
        <f t="shared" ref="K194:N194" si="171">K195</f>
        <v>0</v>
      </c>
      <c r="L194" s="402">
        <f t="shared" si="171"/>
        <v>0</v>
      </c>
      <c r="M194" s="402">
        <f t="shared" si="171"/>
        <v>0</v>
      </c>
      <c r="N194" s="402">
        <f t="shared" si="171"/>
        <v>0</v>
      </c>
      <c r="O194" s="117" t="e">
        <f>(I194/C194)*100</f>
        <v>#DIV/0!</v>
      </c>
      <c r="P194" s="404">
        <f t="shared" ref="P194:P264" si="172">SUM(Q194:U194)</f>
        <v>0</v>
      </c>
      <c r="Q194" s="402">
        <f>Q195</f>
        <v>0</v>
      </c>
      <c r="R194" s="402">
        <f t="shared" ref="R194:U194" si="173">R195</f>
        <v>0</v>
      </c>
      <c r="S194" s="402">
        <f t="shared" si="173"/>
        <v>0</v>
      </c>
      <c r="T194" s="402">
        <f t="shared" si="173"/>
        <v>0</v>
      </c>
      <c r="U194" s="402">
        <f t="shared" si="173"/>
        <v>0</v>
      </c>
    </row>
    <row r="195" spans="1:22" ht="17.25" customHeight="1" x14ac:dyDescent="0.25">
      <c r="A195" s="469"/>
      <c r="B195" s="98" t="s">
        <v>138</v>
      </c>
      <c r="C195" s="404">
        <f t="shared" ref="C195:C206" si="174">SUM(D195:H195)</f>
        <v>0</v>
      </c>
      <c r="D195" s="161">
        <v>0</v>
      </c>
      <c r="E195" s="161">
        <v>0</v>
      </c>
      <c r="F195" s="161">
        <v>0</v>
      </c>
      <c r="G195" s="161">
        <v>0</v>
      </c>
      <c r="H195" s="161">
        <v>0</v>
      </c>
      <c r="I195" s="404">
        <f t="shared" si="170"/>
        <v>0</v>
      </c>
      <c r="J195" s="402">
        <v>0</v>
      </c>
      <c r="K195" s="402">
        <v>0</v>
      </c>
      <c r="L195" s="402">
        <v>0</v>
      </c>
      <c r="M195" s="402">
        <v>0</v>
      </c>
      <c r="N195" s="402">
        <v>0</v>
      </c>
      <c r="O195" s="117" t="e">
        <f t="shared" ref="O195:O206" si="175">(I195/C195)*100</f>
        <v>#DIV/0!</v>
      </c>
      <c r="P195" s="404">
        <f t="shared" si="172"/>
        <v>0</v>
      </c>
      <c r="Q195" s="402"/>
      <c r="R195" s="402"/>
      <c r="S195" s="402"/>
      <c r="T195" s="402"/>
      <c r="U195" s="402"/>
    </row>
    <row r="196" spans="1:22" x14ac:dyDescent="0.25">
      <c r="A196" s="469"/>
      <c r="B196" s="108" t="s">
        <v>139</v>
      </c>
      <c r="C196" s="404">
        <f t="shared" si="174"/>
        <v>0</v>
      </c>
      <c r="D196" s="402">
        <f>D197</f>
        <v>0</v>
      </c>
      <c r="E196" s="402">
        <f t="shared" ref="E196:H196" si="176">E197</f>
        <v>0</v>
      </c>
      <c r="F196" s="402">
        <f t="shared" si="176"/>
        <v>0</v>
      </c>
      <c r="G196" s="402">
        <v>0</v>
      </c>
      <c r="H196" s="402">
        <f t="shared" si="176"/>
        <v>0</v>
      </c>
      <c r="I196" s="404">
        <f t="shared" si="170"/>
        <v>0</v>
      </c>
      <c r="J196" s="402">
        <f>J197</f>
        <v>0</v>
      </c>
      <c r="K196" s="402">
        <v>0</v>
      </c>
      <c r="L196" s="402">
        <v>0</v>
      </c>
      <c r="M196" s="402">
        <f>M197</f>
        <v>0</v>
      </c>
      <c r="N196" s="402">
        <f t="shared" ref="N196" si="177">N197</f>
        <v>0</v>
      </c>
      <c r="O196" s="117" t="e">
        <f t="shared" si="175"/>
        <v>#DIV/0!</v>
      </c>
      <c r="P196" s="404">
        <f t="shared" si="172"/>
        <v>0</v>
      </c>
      <c r="Q196" s="402">
        <f>Q197</f>
        <v>0</v>
      </c>
      <c r="R196" s="402">
        <f t="shared" ref="R196:U196" si="178">R197</f>
        <v>0</v>
      </c>
      <c r="S196" s="402">
        <f t="shared" si="178"/>
        <v>0</v>
      </c>
      <c r="T196" s="402">
        <f t="shared" si="178"/>
        <v>0</v>
      </c>
      <c r="U196" s="402">
        <f t="shared" si="178"/>
        <v>0</v>
      </c>
    </row>
    <row r="197" spans="1:22" x14ac:dyDescent="0.25">
      <c r="A197" s="469"/>
      <c r="B197" s="7" t="s">
        <v>139</v>
      </c>
      <c r="C197" s="404">
        <f t="shared" si="174"/>
        <v>0</v>
      </c>
      <c r="D197" s="402">
        <v>0</v>
      </c>
      <c r="E197" s="402">
        <v>0</v>
      </c>
      <c r="F197" s="402">
        <v>0</v>
      </c>
      <c r="G197" s="402">
        <v>0</v>
      </c>
      <c r="H197" s="402">
        <v>0</v>
      </c>
      <c r="I197" s="404">
        <f t="shared" si="170"/>
        <v>0</v>
      </c>
      <c r="J197" s="402">
        <v>0</v>
      </c>
      <c r="K197" s="402">
        <v>0</v>
      </c>
      <c r="L197" s="402">
        <v>0</v>
      </c>
      <c r="M197" s="402">
        <v>0</v>
      </c>
      <c r="N197" s="402">
        <v>0</v>
      </c>
      <c r="O197" s="117" t="e">
        <f t="shared" si="175"/>
        <v>#DIV/0!</v>
      </c>
      <c r="P197" s="404">
        <f t="shared" si="172"/>
        <v>0</v>
      </c>
      <c r="Q197" s="402">
        <v>0</v>
      </c>
      <c r="R197" s="402">
        <v>0</v>
      </c>
      <c r="S197" s="402">
        <v>0</v>
      </c>
      <c r="T197" s="402">
        <v>0</v>
      </c>
      <c r="U197" s="402">
        <v>0</v>
      </c>
    </row>
    <row r="198" spans="1:22" x14ac:dyDescent="0.25">
      <c r="A198" s="469"/>
      <c r="B198" s="108" t="s">
        <v>140</v>
      </c>
      <c r="C198" s="404">
        <f t="shared" si="174"/>
        <v>2000</v>
      </c>
      <c r="D198" s="402">
        <f>D199</f>
        <v>0</v>
      </c>
      <c r="E198" s="402">
        <f t="shared" ref="E198:H198" si="179">E199</f>
        <v>0</v>
      </c>
      <c r="F198" s="402">
        <f t="shared" si="179"/>
        <v>1000</v>
      </c>
      <c r="G198" s="402">
        <f t="shared" si="179"/>
        <v>1000</v>
      </c>
      <c r="H198" s="402">
        <f t="shared" si="179"/>
        <v>0</v>
      </c>
      <c r="I198" s="404">
        <f t="shared" si="170"/>
        <v>0</v>
      </c>
      <c r="J198" s="402">
        <f>J199</f>
        <v>0</v>
      </c>
      <c r="K198" s="402">
        <f t="shared" ref="K198:N198" si="180">K199</f>
        <v>0</v>
      </c>
      <c r="L198" s="402">
        <f t="shared" si="180"/>
        <v>0</v>
      </c>
      <c r="M198" s="402">
        <f t="shared" si="180"/>
        <v>0</v>
      </c>
      <c r="N198" s="402">
        <f t="shared" si="180"/>
        <v>0</v>
      </c>
      <c r="O198" s="117">
        <f t="shared" si="175"/>
        <v>0</v>
      </c>
      <c r="P198" s="404">
        <f t="shared" si="172"/>
        <v>0</v>
      </c>
      <c r="Q198" s="402">
        <f>Q199</f>
        <v>0</v>
      </c>
      <c r="R198" s="402">
        <f t="shared" ref="R198:U198" si="181">R199</f>
        <v>0</v>
      </c>
      <c r="S198" s="402">
        <f t="shared" si="181"/>
        <v>0</v>
      </c>
      <c r="T198" s="402">
        <f t="shared" si="181"/>
        <v>0</v>
      </c>
      <c r="U198" s="402">
        <f t="shared" si="181"/>
        <v>0</v>
      </c>
    </row>
    <row r="199" spans="1:22" x14ac:dyDescent="0.25">
      <c r="A199" s="469"/>
      <c r="B199" s="7" t="s">
        <v>140</v>
      </c>
      <c r="C199" s="404">
        <f t="shared" si="174"/>
        <v>2000</v>
      </c>
      <c r="D199" s="402">
        <v>0</v>
      </c>
      <c r="E199" s="402">
        <v>0</v>
      </c>
      <c r="F199" s="402">
        <v>1000</v>
      </c>
      <c r="G199" s="402">
        <v>1000</v>
      </c>
      <c r="H199" s="402">
        <v>0</v>
      </c>
      <c r="I199" s="404">
        <f t="shared" si="170"/>
        <v>0</v>
      </c>
      <c r="J199" s="402">
        <v>0</v>
      </c>
      <c r="K199" s="402">
        <v>0</v>
      </c>
      <c r="L199" s="402">
        <v>0</v>
      </c>
      <c r="M199" s="402">
        <v>0</v>
      </c>
      <c r="N199" s="402">
        <v>0</v>
      </c>
      <c r="O199" s="117">
        <f t="shared" si="175"/>
        <v>0</v>
      </c>
      <c r="P199" s="404">
        <f t="shared" si="172"/>
        <v>0</v>
      </c>
      <c r="Q199" s="402">
        <v>0</v>
      </c>
      <c r="R199" s="402">
        <v>0</v>
      </c>
      <c r="S199" s="402">
        <v>0</v>
      </c>
      <c r="T199" s="402">
        <v>0</v>
      </c>
      <c r="U199" s="402">
        <v>0</v>
      </c>
    </row>
    <row r="200" spans="1:22" ht="30.75" customHeight="1" x14ac:dyDescent="0.25">
      <c r="A200" s="469"/>
      <c r="B200" s="152" t="s">
        <v>1011</v>
      </c>
      <c r="C200" s="404">
        <f t="shared" si="174"/>
        <v>50</v>
      </c>
      <c r="D200" s="402"/>
      <c r="E200" s="402"/>
      <c r="F200" s="402">
        <v>50</v>
      </c>
      <c r="G200" s="402"/>
      <c r="H200" s="402"/>
      <c r="I200" s="404">
        <f t="shared" si="170"/>
        <v>0</v>
      </c>
      <c r="J200" s="402"/>
      <c r="K200" s="402"/>
      <c r="L200" s="402"/>
      <c r="M200" s="402"/>
      <c r="N200" s="402"/>
      <c r="O200" s="117"/>
      <c r="P200" s="404">
        <f t="shared" si="172"/>
        <v>0</v>
      </c>
      <c r="Q200" s="402"/>
      <c r="R200" s="402"/>
      <c r="S200" s="402"/>
      <c r="T200" s="402"/>
      <c r="U200" s="402"/>
    </row>
    <row r="201" spans="1:22" ht="31.5" x14ac:dyDescent="0.25">
      <c r="A201" s="469"/>
      <c r="B201" s="159" t="s">
        <v>141</v>
      </c>
      <c r="C201" s="404">
        <f t="shared" si="174"/>
        <v>4800</v>
      </c>
      <c r="D201" s="21">
        <f>D202</f>
        <v>0</v>
      </c>
      <c r="E201" s="21">
        <f t="shared" ref="E201:H201" si="182">E202</f>
        <v>0</v>
      </c>
      <c r="F201" s="21">
        <f t="shared" si="182"/>
        <v>4800</v>
      </c>
      <c r="G201" s="21">
        <f t="shared" si="182"/>
        <v>0</v>
      </c>
      <c r="H201" s="21">
        <f t="shared" si="182"/>
        <v>0</v>
      </c>
      <c r="I201" s="404">
        <f t="shared" si="170"/>
        <v>3942.194</v>
      </c>
      <c r="J201" s="21">
        <f>J202</f>
        <v>0</v>
      </c>
      <c r="K201" s="21">
        <f t="shared" ref="K201:N201" si="183">K202</f>
        <v>0</v>
      </c>
      <c r="L201" s="21">
        <f>SUM(L202)</f>
        <v>3942.194</v>
      </c>
      <c r="M201" s="21">
        <f t="shared" si="183"/>
        <v>0</v>
      </c>
      <c r="N201" s="21">
        <f t="shared" si="183"/>
        <v>0</v>
      </c>
      <c r="O201" s="182">
        <f t="shared" si="175"/>
        <v>82.129041666666666</v>
      </c>
      <c r="P201" s="404">
        <f t="shared" si="172"/>
        <v>3942.194</v>
      </c>
      <c r="Q201" s="21">
        <f>Q202</f>
        <v>0</v>
      </c>
      <c r="R201" s="21">
        <f t="shared" ref="R201:U201" si="184">R202</f>
        <v>0</v>
      </c>
      <c r="S201" s="21">
        <f t="shared" si="184"/>
        <v>3942.194</v>
      </c>
      <c r="T201" s="402">
        <f t="shared" si="184"/>
        <v>0</v>
      </c>
      <c r="U201" s="402">
        <f t="shared" si="184"/>
        <v>0</v>
      </c>
    </row>
    <row r="202" spans="1:22" ht="31.5" x14ac:dyDescent="0.25">
      <c r="A202" s="469"/>
      <c r="B202" s="7" t="s">
        <v>142</v>
      </c>
      <c r="C202" s="404">
        <f t="shared" si="174"/>
        <v>4800</v>
      </c>
      <c r="D202" s="402">
        <v>0</v>
      </c>
      <c r="E202" s="402">
        <v>0</v>
      </c>
      <c r="F202" s="402">
        <v>4800</v>
      </c>
      <c r="G202" s="402">
        <v>0</v>
      </c>
      <c r="H202" s="402">
        <v>0</v>
      </c>
      <c r="I202" s="404">
        <f t="shared" si="170"/>
        <v>3942.194</v>
      </c>
      <c r="J202" s="402">
        <v>0</v>
      </c>
      <c r="K202" s="402">
        <v>0</v>
      </c>
      <c r="L202" s="403">
        <v>3942.194</v>
      </c>
      <c r="M202" s="402">
        <v>0</v>
      </c>
      <c r="N202" s="402">
        <v>0</v>
      </c>
      <c r="O202" s="117">
        <f>(I202/C202)*100</f>
        <v>82.129041666666666</v>
      </c>
      <c r="P202" s="404">
        <f t="shared" si="172"/>
        <v>3942.194</v>
      </c>
      <c r="Q202" s="402">
        <v>0</v>
      </c>
      <c r="R202" s="402">
        <v>0</v>
      </c>
      <c r="S202" s="403">
        <v>3942.194</v>
      </c>
      <c r="T202" s="402">
        <v>0</v>
      </c>
      <c r="U202" s="402">
        <v>0</v>
      </c>
    </row>
    <row r="203" spans="1:22" ht="32.25" customHeight="1" x14ac:dyDescent="0.25">
      <c r="A203" s="469"/>
      <c r="B203" s="159" t="s">
        <v>143</v>
      </c>
      <c r="C203" s="404">
        <f t="shared" si="174"/>
        <v>1000</v>
      </c>
      <c r="D203" s="21">
        <f>D204</f>
        <v>0</v>
      </c>
      <c r="E203" s="21">
        <f t="shared" ref="E203:H203" si="185">E204</f>
        <v>0</v>
      </c>
      <c r="F203" s="21">
        <f t="shared" si="185"/>
        <v>1000</v>
      </c>
      <c r="G203" s="21">
        <f t="shared" si="185"/>
        <v>0</v>
      </c>
      <c r="H203" s="21">
        <f t="shared" si="185"/>
        <v>0</v>
      </c>
      <c r="I203" s="404">
        <f t="shared" si="170"/>
        <v>1000</v>
      </c>
      <c r="J203" s="21">
        <f>J204</f>
        <v>0</v>
      </c>
      <c r="K203" s="21">
        <f t="shared" ref="K203:N203" si="186">K204</f>
        <v>0</v>
      </c>
      <c r="L203" s="21">
        <f t="shared" si="186"/>
        <v>1000</v>
      </c>
      <c r="M203" s="21">
        <f t="shared" si="186"/>
        <v>0</v>
      </c>
      <c r="N203" s="21">
        <f t="shared" si="186"/>
        <v>0</v>
      </c>
      <c r="O203" s="182">
        <f t="shared" si="175"/>
        <v>100</v>
      </c>
      <c r="P203" s="404">
        <f t="shared" si="172"/>
        <v>1000</v>
      </c>
      <c r="Q203" s="21">
        <f>Q204</f>
        <v>0</v>
      </c>
      <c r="R203" s="21">
        <f t="shared" ref="R203:U203" si="187">R204</f>
        <v>0</v>
      </c>
      <c r="S203" s="21">
        <f t="shared" si="187"/>
        <v>1000</v>
      </c>
      <c r="T203" s="402">
        <f t="shared" si="187"/>
        <v>0</v>
      </c>
      <c r="U203" s="402">
        <f t="shared" si="187"/>
        <v>0</v>
      </c>
    </row>
    <row r="204" spans="1:22" ht="34.5" customHeight="1" x14ac:dyDescent="0.25">
      <c r="A204" s="469"/>
      <c r="B204" s="7" t="s">
        <v>143</v>
      </c>
      <c r="C204" s="404">
        <f t="shared" si="174"/>
        <v>1000</v>
      </c>
      <c r="D204" s="402">
        <v>0</v>
      </c>
      <c r="E204" s="402">
        <v>0</v>
      </c>
      <c r="F204" s="402">
        <v>1000</v>
      </c>
      <c r="G204" s="402">
        <v>0</v>
      </c>
      <c r="H204" s="402">
        <v>0</v>
      </c>
      <c r="I204" s="404">
        <f t="shared" si="170"/>
        <v>1000</v>
      </c>
      <c r="J204" s="402">
        <v>0</v>
      </c>
      <c r="K204" s="402">
        <v>0</v>
      </c>
      <c r="L204" s="402">
        <v>1000</v>
      </c>
      <c r="M204" s="402">
        <v>0</v>
      </c>
      <c r="N204" s="402">
        <v>0</v>
      </c>
      <c r="O204" s="117">
        <f t="shared" si="175"/>
        <v>100</v>
      </c>
      <c r="P204" s="404">
        <f t="shared" si="172"/>
        <v>1000</v>
      </c>
      <c r="Q204" s="402">
        <v>0</v>
      </c>
      <c r="R204" s="402">
        <v>0</v>
      </c>
      <c r="S204" s="402">
        <v>1000</v>
      </c>
      <c r="T204" s="402">
        <v>0</v>
      </c>
      <c r="U204" s="402">
        <v>0</v>
      </c>
    </row>
    <row r="205" spans="1:22" ht="20.25" customHeight="1" x14ac:dyDescent="0.25">
      <c r="A205" s="469"/>
      <c r="B205" s="108" t="s">
        <v>144</v>
      </c>
      <c r="C205" s="404">
        <f t="shared" si="174"/>
        <v>1200</v>
      </c>
      <c r="D205" s="402">
        <f>D206</f>
        <v>0</v>
      </c>
      <c r="E205" s="402">
        <f t="shared" ref="E205:H205" si="188">E206</f>
        <v>1000</v>
      </c>
      <c r="F205" s="402">
        <f t="shared" si="188"/>
        <v>200</v>
      </c>
      <c r="G205" s="402">
        <f t="shared" si="188"/>
        <v>0</v>
      </c>
      <c r="H205" s="402">
        <f t="shared" si="188"/>
        <v>0</v>
      </c>
      <c r="I205" s="404">
        <f t="shared" si="170"/>
        <v>0</v>
      </c>
      <c r="J205" s="402">
        <f>J206</f>
        <v>0</v>
      </c>
      <c r="K205" s="402">
        <f t="shared" ref="K205:N205" si="189">K206</f>
        <v>0</v>
      </c>
      <c r="L205" s="402">
        <f t="shared" si="189"/>
        <v>0</v>
      </c>
      <c r="M205" s="402">
        <f t="shared" si="189"/>
        <v>0</v>
      </c>
      <c r="N205" s="402">
        <f t="shared" si="189"/>
        <v>0</v>
      </c>
      <c r="O205" s="117">
        <f t="shared" si="175"/>
        <v>0</v>
      </c>
      <c r="P205" s="404">
        <f t="shared" si="172"/>
        <v>0</v>
      </c>
      <c r="Q205" s="402">
        <f>Q206</f>
        <v>0</v>
      </c>
      <c r="R205" s="402">
        <f t="shared" ref="R205:U205" si="190">R206</f>
        <v>0</v>
      </c>
      <c r="S205" s="402">
        <f t="shared" si="190"/>
        <v>0</v>
      </c>
      <c r="T205" s="402">
        <f t="shared" si="190"/>
        <v>0</v>
      </c>
      <c r="U205" s="402">
        <f t="shared" si="190"/>
        <v>0</v>
      </c>
    </row>
    <row r="206" spans="1:22" ht="30.75" customHeight="1" x14ac:dyDescent="0.25">
      <c r="A206" s="469"/>
      <c r="B206" s="7" t="s">
        <v>145</v>
      </c>
      <c r="C206" s="404">
        <f t="shared" si="174"/>
        <v>1200</v>
      </c>
      <c r="D206" s="402">
        <v>0</v>
      </c>
      <c r="E206" s="402">
        <v>1000</v>
      </c>
      <c r="F206" s="402">
        <v>200</v>
      </c>
      <c r="G206" s="402">
        <v>0</v>
      </c>
      <c r="H206" s="402">
        <v>0</v>
      </c>
      <c r="I206" s="404">
        <f t="shared" si="170"/>
        <v>0</v>
      </c>
      <c r="J206" s="402">
        <v>0</v>
      </c>
      <c r="K206" s="402">
        <v>0</v>
      </c>
      <c r="L206" s="402">
        <v>0</v>
      </c>
      <c r="M206" s="402">
        <v>0</v>
      </c>
      <c r="N206" s="402">
        <v>0</v>
      </c>
      <c r="O206" s="117">
        <f t="shared" si="175"/>
        <v>0</v>
      </c>
      <c r="P206" s="404">
        <f t="shared" si="172"/>
        <v>0</v>
      </c>
      <c r="Q206" s="402">
        <v>0</v>
      </c>
      <c r="R206" s="402">
        <v>0</v>
      </c>
      <c r="S206" s="402">
        <v>0</v>
      </c>
      <c r="T206" s="402">
        <v>0</v>
      </c>
      <c r="U206" s="402">
        <v>0</v>
      </c>
    </row>
    <row r="207" spans="1:22" ht="53.25" customHeight="1" x14ac:dyDescent="0.25">
      <c r="A207" s="52">
        <v>13</v>
      </c>
      <c r="B207" s="24" t="s">
        <v>146</v>
      </c>
      <c r="C207" s="404">
        <f t="shared" ref="C207:C222" si="191">SUM(D207:H207)</f>
        <v>11462.856</v>
      </c>
      <c r="D207" s="404">
        <f t="shared" ref="D207:E207" si="192">(D208+D211+D214+D218+D222)</f>
        <v>0</v>
      </c>
      <c r="E207" s="404">
        <f t="shared" si="192"/>
        <v>0</v>
      </c>
      <c r="F207" s="404">
        <f>(F208+F210+F214+F218+F222)+F220</f>
        <v>11462.856</v>
      </c>
      <c r="G207" s="404">
        <f t="shared" ref="G207:U207" si="193">(G208+G211+G214+G218+G222)</f>
        <v>0</v>
      </c>
      <c r="H207" s="404">
        <f t="shared" si="193"/>
        <v>0</v>
      </c>
      <c r="I207" s="404">
        <f>SUM(J207:N207)</f>
        <v>11081.464309999999</v>
      </c>
      <c r="J207" s="404">
        <f t="shared" si="193"/>
        <v>0</v>
      </c>
      <c r="K207" s="404">
        <f t="shared" si="193"/>
        <v>0</v>
      </c>
      <c r="L207" s="11">
        <f>SUM(L210+L214+L216+L221)+L208</f>
        <v>11081.464309999999</v>
      </c>
      <c r="M207" s="404">
        <f t="shared" si="193"/>
        <v>0</v>
      </c>
      <c r="N207" s="404">
        <f t="shared" si="193"/>
        <v>0</v>
      </c>
      <c r="O207" s="404" t="e">
        <f t="shared" si="193"/>
        <v>#DIV/0!</v>
      </c>
      <c r="P207" s="404">
        <f t="shared" si="172"/>
        <v>11069.758000000002</v>
      </c>
      <c r="Q207" s="404">
        <f t="shared" si="193"/>
        <v>0</v>
      </c>
      <c r="R207" s="404">
        <f t="shared" si="193"/>
        <v>0</v>
      </c>
      <c r="S207" s="11">
        <f>SUM(S210+S214+S216+S221)+S208</f>
        <v>11069.758000000002</v>
      </c>
      <c r="T207" s="404">
        <f t="shared" si="193"/>
        <v>0</v>
      </c>
      <c r="U207" s="404">
        <f t="shared" si="193"/>
        <v>0</v>
      </c>
      <c r="V207" s="174"/>
    </row>
    <row r="208" spans="1:22" ht="21" customHeight="1" x14ac:dyDescent="0.25">
      <c r="A208" s="83"/>
      <c r="B208" s="12" t="s">
        <v>147</v>
      </c>
      <c r="C208" s="404">
        <f>SUM(D208:H208)</f>
        <v>2723.0210000000002</v>
      </c>
      <c r="D208" s="402">
        <f t="shared" ref="D208:E208" si="194">SUM(D209:D210)</f>
        <v>0</v>
      </c>
      <c r="E208" s="402">
        <f t="shared" si="194"/>
        <v>0</v>
      </c>
      <c r="F208" s="402">
        <f>SUM(F209)</f>
        <v>2723.0210000000002</v>
      </c>
      <c r="G208" s="402">
        <f t="shared" ref="G208:U208" si="195">SUM(G209:G210)</f>
        <v>0</v>
      </c>
      <c r="H208" s="402">
        <f t="shared" si="195"/>
        <v>0</v>
      </c>
      <c r="I208" s="404">
        <f t="shared" si="170"/>
        <v>4327.6099999999997</v>
      </c>
      <c r="J208" s="21">
        <f t="shared" si="195"/>
        <v>0</v>
      </c>
      <c r="K208" s="21">
        <f t="shared" si="195"/>
        <v>0</v>
      </c>
      <c r="L208" s="21">
        <f>SUM(L209)</f>
        <v>4327.6099999999997</v>
      </c>
      <c r="M208" s="21">
        <f t="shared" si="195"/>
        <v>0</v>
      </c>
      <c r="N208" s="21">
        <f t="shared" si="195"/>
        <v>0</v>
      </c>
      <c r="O208" s="21">
        <f t="shared" si="195"/>
        <v>212.91894875748801</v>
      </c>
      <c r="P208" s="404">
        <f t="shared" si="172"/>
        <v>4316.3149999999996</v>
      </c>
      <c r="Q208" s="21">
        <f t="shared" si="195"/>
        <v>0</v>
      </c>
      <c r="R208" s="21">
        <f t="shared" si="195"/>
        <v>0</v>
      </c>
      <c r="S208" s="21">
        <f>SUM(S209)</f>
        <v>4316.3149999999996</v>
      </c>
      <c r="T208" s="402">
        <f t="shared" si="195"/>
        <v>0</v>
      </c>
      <c r="U208" s="402">
        <f t="shared" si="195"/>
        <v>0</v>
      </c>
    </row>
    <row r="209" spans="1:22" ht="52.5" customHeight="1" x14ac:dyDescent="0.25">
      <c r="A209" s="752"/>
      <c r="B209" s="16" t="s">
        <v>148</v>
      </c>
      <c r="C209" s="404">
        <f t="shared" si="191"/>
        <v>2723.0210000000002</v>
      </c>
      <c r="D209" s="402">
        <v>0</v>
      </c>
      <c r="E209" s="402">
        <v>0</v>
      </c>
      <c r="F209" s="474">
        <v>2723.0210000000002</v>
      </c>
      <c r="G209" s="402">
        <v>0</v>
      </c>
      <c r="H209" s="402">
        <v>0</v>
      </c>
      <c r="I209" s="404">
        <f t="shared" si="170"/>
        <v>4327.6099999999997</v>
      </c>
      <c r="J209" s="402">
        <v>0</v>
      </c>
      <c r="K209" s="402">
        <v>0</v>
      </c>
      <c r="L209" s="403">
        <v>4327.6099999999997</v>
      </c>
      <c r="M209" s="402">
        <v>0</v>
      </c>
      <c r="N209" s="402">
        <v>0</v>
      </c>
      <c r="O209" s="117">
        <f t="shared" ref="O209:O210" si="196">(I209/C209)*100</f>
        <v>158.92679490903669</v>
      </c>
      <c r="P209" s="404">
        <f t="shared" si="172"/>
        <v>4316.3149999999996</v>
      </c>
      <c r="Q209" s="402">
        <v>0</v>
      </c>
      <c r="R209" s="402">
        <v>0</v>
      </c>
      <c r="S209" s="403">
        <v>4316.3149999999996</v>
      </c>
      <c r="T209" s="402">
        <v>0</v>
      </c>
      <c r="U209" s="402">
        <v>0</v>
      </c>
    </row>
    <row r="210" spans="1:22" ht="20.25" customHeight="1" x14ac:dyDescent="0.25">
      <c r="A210" s="752"/>
      <c r="B210" s="179" t="s">
        <v>149</v>
      </c>
      <c r="C210" s="404">
        <f t="shared" si="191"/>
        <v>5691.835</v>
      </c>
      <c r="D210" s="402">
        <f>D211</f>
        <v>0</v>
      </c>
      <c r="E210" s="402">
        <f>E211</f>
        <v>0</v>
      </c>
      <c r="F210" s="402">
        <v>5691.835</v>
      </c>
      <c r="G210" s="402">
        <f t="shared" ref="G210:H210" si="197">G211</f>
        <v>0</v>
      </c>
      <c r="H210" s="402">
        <f t="shared" si="197"/>
        <v>0</v>
      </c>
      <c r="I210" s="404">
        <f t="shared" si="170"/>
        <v>3073.1443100000001</v>
      </c>
      <c r="J210" s="21">
        <f>J211</f>
        <v>0</v>
      </c>
      <c r="K210" s="21">
        <f t="shared" ref="K210:M210" si="198">K211</f>
        <v>0</v>
      </c>
      <c r="L210" s="21">
        <f>SUM(L211:L213)</f>
        <v>3073.1443100000001</v>
      </c>
      <c r="M210" s="21">
        <f t="shared" si="198"/>
        <v>0</v>
      </c>
      <c r="N210" s="21">
        <v>0</v>
      </c>
      <c r="O210" s="182">
        <f t="shared" si="196"/>
        <v>53.992153848451338</v>
      </c>
      <c r="P210" s="404">
        <f t="shared" si="172"/>
        <v>3073.0230000000001</v>
      </c>
      <c r="Q210" s="21">
        <f>Q211</f>
        <v>0</v>
      </c>
      <c r="R210" s="21">
        <f t="shared" ref="R210:U210" si="199">R211</f>
        <v>0</v>
      </c>
      <c r="S210" s="21">
        <f>SUM(S211:S213)</f>
        <v>3073.0230000000001</v>
      </c>
      <c r="T210" s="402">
        <f t="shared" si="199"/>
        <v>0</v>
      </c>
      <c r="U210" s="402">
        <f t="shared" si="199"/>
        <v>0</v>
      </c>
    </row>
    <row r="211" spans="1:22" ht="39" customHeight="1" x14ac:dyDescent="0.25">
      <c r="A211" s="63"/>
      <c r="B211" s="13" t="s">
        <v>150</v>
      </c>
      <c r="C211" s="404">
        <f t="shared" si="191"/>
        <v>0</v>
      </c>
      <c r="D211" s="402">
        <f t="shared" ref="D211:E211" si="200">SUM(D212:D213)</f>
        <v>0</v>
      </c>
      <c r="E211" s="402">
        <f t="shared" si="200"/>
        <v>0</v>
      </c>
      <c r="F211" s="402"/>
      <c r="G211" s="402">
        <f>SUM(G212:G213)</f>
        <v>0</v>
      </c>
      <c r="H211" s="402">
        <f t="shared" ref="H211:U211" si="201">SUM(H212:H213)</f>
        <v>0</v>
      </c>
      <c r="I211" s="404">
        <f t="shared" si="170"/>
        <v>1256.3510000000001</v>
      </c>
      <c r="J211" s="402">
        <f t="shared" si="201"/>
        <v>0</v>
      </c>
      <c r="K211" s="402">
        <f t="shared" si="201"/>
        <v>0</v>
      </c>
      <c r="L211" s="402">
        <f>137.662+53+596.846+121.28+347.563</f>
        <v>1256.3510000000001</v>
      </c>
      <c r="M211" s="402">
        <f t="shared" si="201"/>
        <v>0</v>
      </c>
      <c r="N211" s="402">
        <f t="shared" si="201"/>
        <v>0</v>
      </c>
      <c r="O211" s="402" t="e">
        <f t="shared" si="201"/>
        <v>#DIV/0!</v>
      </c>
      <c r="P211" s="404">
        <f t="shared" si="172"/>
        <v>1256.2329999999999</v>
      </c>
      <c r="Q211" s="402">
        <f t="shared" si="201"/>
        <v>0</v>
      </c>
      <c r="R211" s="402">
        <f t="shared" si="201"/>
        <v>0</v>
      </c>
      <c r="S211" s="402">
        <f>137.6+53+596.79+121.28+347.563</f>
        <v>1256.2329999999999</v>
      </c>
      <c r="T211" s="402">
        <f t="shared" si="201"/>
        <v>0</v>
      </c>
      <c r="U211" s="402">
        <f t="shared" si="201"/>
        <v>0</v>
      </c>
    </row>
    <row r="212" spans="1:22" ht="53.25" customHeight="1" x14ac:dyDescent="0.25">
      <c r="A212" s="752"/>
      <c r="B212" s="14" t="s">
        <v>151</v>
      </c>
      <c r="C212" s="404">
        <f t="shared" si="191"/>
        <v>0</v>
      </c>
      <c r="D212" s="402">
        <v>0</v>
      </c>
      <c r="E212" s="402"/>
      <c r="F212" s="402"/>
      <c r="G212" s="402">
        <v>0</v>
      </c>
      <c r="H212" s="402">
        <v>0</v>
      </c>
      <c r="I212" s="404">
        <f t="shared" si="170"/>
        <v>1141.04331</v>
      </c>
      <c r="J212" s="402">
        <v>0</v>
      </c>
      <c r="K212" s="402">
        <v>0</v>
      </c>
      <c r="L212" s="402">
        <v>1141.04331</v>
      </c>
      <c r="M212" s="402">
        <v>0</v>
      </c>
      <c r="N212" s="402">
        <v>0</v>
      </c>
      <c r="O212" s="117" t="e">
        <f t="shared" ref="O212:O222" si="202">(I212/C212)*100</f>
        <v>#DIV/0!</v>
      </c>
      <c r="P212" s="404">
        <f t="shared" si="172"/>
        <v>1141.04</v>
      </c>
      <c r="Q212" s="402">
        <v>0</v>
      </c>
      <c r="R212" s="402">
        <v>0</v>
      </c>
      <c r="S212" s="15">
        <v>1141.04</v>
      </c>
      <c r="T212" s="402">
        <v>0</v>
      </c>
      <c r="U212" s="402">
        <v>0</v>
      </c>
    </row>
    <row r="213" spans="1:22" ht="31.5" x14ac:dyDescent="0.25">
      <c r="A213" s="752"/>
      <c r="B213" s="16" t="s">
        <v>152</v>
      </c>
      <c r="C213" s="404">
        <f t="shared" si="191"/>
        <v>5691.84</v>
      </c>
      <c r="D213" s="402">
        <f>D214</f>
        <v>0</v>
      </c>
      <c r="E213" s="402">
        <f t="shared" ref="E213:H213" si="203">E214</f>
        <v>0</v>
      </c>
      <c r="F213" s="402">
        <v>5691.84</v>
      </c>
      <c r="G213" s="402">
        <f t="shared" si="203"/>
        <v>0</v>
      </c>
      <c r="H213" s="402">
        <f t="shared" si="203"/>
        <v>0</v>
      </c>
      <c r="I213" s="404">
        <f t="shared" si="170"/>
        <v>675.75</v>
      </c>
      <c r="J213" s="402">
        <f>J214</f>
        <v>0</v>
      </c>
      <c r="K213" s="402">
        <f t="shared" ref="K213:M213" si="204">K214</f>
        <v>0</v>
      </c>
      <c r="L213" s="441">
        <v>675.75</v>
      </c>
      <c r="M213" s="402">
        <f t="shared" si="204"/>
        <v>0</v>
      </c>
      <c r="N213" s="402">
        <v>0</v>
      </c>
      <c r="O213" s="117">
        <f t="shared" si="202"/>
        <v>11.872259234272221</v>
      </c>
      <c r="P213" s="404">
        <f t="shared" si="172"/>
        <v>675.75</v>
      </c>
      <c r="Q213" s="402">
        <f>Q214</f>
        <v>0</v>
      </c>
      <c r="R213" s="402">
        <f t="shared" ref="R213:U213" si="205">R214</f>
        <v>0</v>
      </c>
      <c r="S213" s="441">
        <v>675.75</v>
      </c>
      <c r="T213" s="402">
        <f t="shared" si="205"/>
        <v>0</v>
      </c>
      <c r="U213" s="402">
        <f t="shared" si="205"/>
        <v>0</v>
      </c>
    </row>
    <row r="214" spans="1:22" x14ac:dyDescent="0.25">
      <c r="A214" s="469"/>
      <c r="B214" s="179" t="s">
        <v>153</v>
      </c>
      <c r="C214" s="404">
        <f t="shared" si="191"/>
        <v>1548</v>
      </c>
      <c r="D214" s="402">
        <f>SUM(D216)</f>
        <v>0</v>
      </c>
      <c r="E214" s="402">
        <f>SUM(E215:E217)</f>
        <v>0</v>
      </c>
      <c r="F214" s="402">
        <f>SUM(F215:F217)</f>
        <v>1548</v>
      </c>
      <c r="G214" s="402">
        <v>0</v>
      </c>
      <c r="H214" s="402">
        <v>0</v>
      </c>
      <c r="I214" s="404">
        <f t="shared" si="170"/>
        <v>1425.89</v>
      </c>
      <c r="J214" s="402">
        <v>0</v>
      </c>
      <c r="K214" s="402">
        <v>0</v>
      </c>
      <c r="L214" s="21">
        <f>SUM(L215)</f>
        <v>1425.89</v>
      </c>
      <c r="M214" s="21">
        <f>SUM(M215:M217)</f>
        <v>0</v>
      </c>
      <c r="N214" s="21">
        <f>SUM(N215:N217)</f>
        <v>0</v>
      </c>
      <c r="O214" s="182">
        <f t="shared" si="202"/>
        <v>92.111757105943155</v>
      </c>
      <c r="P214" s="404">
        <f t="shared" si="172"/>
        <v>1425.89</v>
      </c>
      <c r="Q214" s="21">
        <v>0</v>
      </c>
      <c r="R214" s="21">
        <v>0</v>
      </c>
      <c r="S214" s="21">
        <f>SUM(S215)</f>
        <v>1425.89</v>
      </c>
      <c r="T214" s="402">
        <v>0</v>
      </c>
      <c r="U214" s="402">
        <v>0</v>
      </c>
    </row>
    <row r="215" spans="1:22" ht="33" customHeight="1" x14ac:dyDescent="0.25">
      <c r="A215" s="63"/>
      <c r="B215" s="13" t="s">
        <v>154</v>
      </c>
      <c r="C215" s="404">
        <f t="shared" si="191"/>
        <v>1548</v>
      </c>
      <c r="D215" s="402">
        <v>0</v>
      </c>
      <c r="E215" s="402">
        <f t="shared" ref="E215:H215" si="206">E216</f>
        <v>0</v>
      </c>
      <c r="F215" s="402">
        <v>1548</v>
      </c>
      <c r="G215" s="402">
        <f t="shared" si="206"/>
        <v>0</v>
      </c>
      <c r="H215" s="402">
        <f t="shared" si="206"/>
        <v>0</v>
      </c>
      <c r="I215" s="404">
        <f t="shared" si="170"/>
        <v>1425.89</v>
      </c>
      <c r="J215" s="402">
        <f>J216</f>
        <v>0</v>
      </c>
      <c r="K215" s="402">
        <f t="shared" ref="K215:N215" si="207">K216</f>
        <v>0</v>
      </c>
      <c r="L215" s="402">
        <v>1425.89</v>
      </c>
      <c r="M215" s="402">
        <f t="shared" si="207"/>
        <v>0</v>
      </c>
      <c r="N215" s="402">
        <f t="shared" si="207"/>
        <v>0</v>
      </c>
      <c r="O215" s="117">
        <f t="shared" si="202"/>
        <v>92.111757105943155</v>
      </c>
      <c r="P215" s="404">
        <f t="shared" si="172"/>
        <v>1425.89</v>
      </c>
      <c r="Q215" s="402">
        <f>Q216</f>
        <v>0</v>
      </c>
      <c r="R215" s="402">
        <f t="shared" ref="R215:U215" si="208">R216</f>
        <v>0</v>
      </c>
      <c r="S215" s="402">
        <v>1425.89</v>
      </c>
      <c r="T215" s="402">
        <f t="shared" si="208"/>
        <v>0</v>
      </c>
      <c r="U215" s="402">
        <f t="shared" si="208"/>
        <v>0</v>
      </c>
    </row>
    <row r="216" spans="1:22" ht="21.75" customHeight="1" x14ac:dyDescent="0.25">
      <c r="A216" s="469"/>
      <c r="B216" s="180" t="s">
        <v>155</v>
      </c>
      <c r="C216" s="404">
        <f t="shared" si="191"/>
        <v>0</v>
      </c>
      <c r="D216" s="402">
        <v>0</v>
      </c>
      <c r="E216" s="402">
        <v>0</v>
      </c>
      <c r="F216" s="402"/>
      <c r="G216" s="402">
        <v>0</v>
      </c>
      <c r="H216" s="402">
        <v>0</v>
      </c>
      <c r="I216" s="404">
        <f t="shared" si="170"/>
        <v>2174.8200000000002</v>
      </c>
      <c r="J216" s="402">
        <v>0</v>
      </c>
      <c r="K216" s="402">
        <v>0</v>
      </c>
      <c r="L216" s="21">
        <f>SUM(L217:L220)</f>
        <v>2174.8200000000002</v>
      </c>
      <c r="M216" s="21">
        <v>0</v>
      </c>
      <c r="N216" s="21">
        <v>0</v>
      </c>
      <c r="O216" s="182" t="e">
        <f t="shared" si="202"/>
        <v>#DIV/0!</v>
      </c>
      <c r="P216" s="404">
        <f t="shared" si="172"/>
        <v>2174.6800000000003</v>
      </c>
      <c r="Q216" s="21">
        <v>0</v>
      </c>
      <c r="R216" s="21">
        <v>0</v>
      </c>
      <c r="S216" s="21">
        <f>SUM(S217:S220)</f>
        <v>2174.6800000000003</v>
      </c>
      <c r="T216" s="402">
        <v>0</v>
      </c>
      <c r="U216" s="402">
        <v>0</v>
      </c>
    </row>
    <row r="217" spans="1:22" ht="57" customHeight="1" x14ac:dyDescent="0.25">
      <c r="A217" s="469"/>
      <c r="B217" s="17" t="s">
        <v>156</v>
      </c>
      <c r="C217" s="404">
        <f t="shared" si="191"/>
        <v>0</v>
      </c>
      <c r="D217" s="402">
        <v>0</v>
      </c>
      <c r="E217" s="402">
        <v>0</v>
      </c>
      <c r="F217" s="402">
        <v>0</v>
      </c>
      <c r="G217" s="402">
        <v>0</v>
      </c>
      <c r="H217" s="402">
        <v>0</v>
      </c>
      <c r="I217" s="404">
        <f t="shared" si="170"/>
        <v>984.15000000000009</v>
      </c>
      <c r="J217" s="402">
        <v>0</v>
      </c>
      <c r="K217" s="402">
        <v>0</v>
      </c>
      <c r="L217" s="402">
        <f>830.85+153.3</f>
        <v>984.15000000000009</v>
      </c>
      <c r="M217" s="402">
        <v>0</v>
      </c>
      <c r="N217" s="402">
        <v>0</v>
      </c>
      <c r="O217" s="117" t="e">
        <f t="shared" si="202"/>
        <v>#DIV/0!</v>
      </c>
      <c r="P217" s="404">
        <f t="shared" si="172"/>
        <v>984.15000000000009</v>
      </c>
      <c r="Q217" s="402">
        <v>0</v>
      </c>
      <c r="R217" s="402">
        <v>0</v>
      </c>
      <c r="S217" s="402">
        <f>830.85+153.3</f>
        <v>984.15000000000009</v>
      </c>
      <c r="T217" s="402">
        <v>0</v>
      </c>
      <c r="U217" s="402">
        <v>0</v>
      </c>
    </row>
    <row r="218" spans="1:22" ht="55.5" customHeight="1" x14ac:dyDescent="0.25">
      <c r="A218" s="469"/>
      <c r="B218" s="13" t="s">
        <v>157</v>
      </c>
      <c r="C218" s="404">
        <f t="shared" si="191"/>
        <v>0</v>
      </c>
      <c r="D218" s="402">
        <v>0</v>
      </c>
      <c r="E218" s="402">
        <f t="shared" ref="E218:G218" si="209">E219+E220+E221</f>
        <v>0</v>
      </c>
      <c r="F218" s="161">
        <v>0</v>
      </c>
      <c r="G218" s="402">
        <f t="shared" si="209"/>
        <v>0</v>
      </c>
      <c r="H218" s="402">
        <v>0</v>
      </c>
      <c r="I218" s="404">
        <f t="shared" si="170"/>
        <v>805.72</v>
      </c>
      <c r="J218" s="402">
        <f>J219+J220+J221</f>
        <v>0</v>
      </c>
      <c r="K218" s="402">
        <v>0</v>
      </c>
      <c r="L218" s="402">
        <v>805.72</v>
      </c>
      <c r="M218" s="402">
        <f t="shared" ref="M218:N218" si="210">M219+M220+M221</f>
        <v>0</v>
      </c>
      <c r="N218" s="402">
        <f t="shared" si="210"/>
        <v>0</v>
      </c>
      <c r="O218" s="117" t="e">
        <f t="shared" si="202"/>
        <v>#DIV/0!</v>
      </c>
      <c r="P218" s="404">
        <f t="shared" si="172"/>
        <v>805.72</v>
      </c>
      <c r="Q218" s="402">
        <f>Q219+Q220+Q221</f>
        <v>0</v>
      </c>
      <c r="R218" s="402">
        <f t="shared" ref="R218:U218" si="211">R219+R220+R221</f>
        <v>0</v>
      </c>
      <c r="S218" s="402">
        <v>805.72</v>
      </c>
      <c r="T218" s="402">
        <f t="shared" si="211"/>
        <v>0</v>
      </c>
      <c r="U218" s="402">
        <f t="shared" si="211"/>
        <v>0</v>
      </c>
    </row>
    <row r="219" spans="1:22" ht="31.5" x14ac:dyDescent="0.25">
      <c r="A219" s="469"/>
      <c r="B219" s="16" t="s">
        <v>1030</v>
      </c>
      <c r="C219" s="404">
        <f t="shared" si="191"/>
        <v>0</v>
      </c>
      <c r="D219" s="402">
        <v>0</v>
      </c>
      <c r="E219" s="402">
        <v>0</v>
      </c>
      <c r="F219" s="402">
        <v>0</v>
      </c>
      <c r="G219" s="402">
        <v>0</v>
      </c>
      <c r="H219" s="402">
        <v>0</v>
      </c>
      <c r="I219" s="404">
        <f t="shared" si="170"/>
        <v>184.95</v>
      </c>
      <c r="J219" s="402">
        <v>0</v>
      </c>
      <c r="K219" s="402">
        <v>0</v>
      </c>
      <c r="L219" s="402">
        <v>184.95</v>
      </c>
      <c r="M219" s="402">
        <v>0</v>
      </c>
      <c r="N219" s="402">
        <v>0</v>
      </c>
      <c r="O219" s="117" t="e">
        <f t="shared" si="202"/>
        <v>#DIV/0!</v>
      </c>
      <c r="P219" s="404">
        <f t="shared" si="172"/>
        <v>184.81</v>
      </c>
      <c r="Q219" s="402">
        <v>0</v>
      </c>
      <c r="R219" s="402">
        <v>0</v>
      </c>
      <c r="S219" s="402">
        <v>184.81</v>
      </c>
      <c r="T219" s="402">
        <v>0</v>
      </c>
      <c r="U219" s="402">
        <v>0</v>
      </c>
    </row>
    <row r="220" spans="1:22" x14ac:dyDescent="0.25">
      <c r="A220" s="469"/>
      <c r="B220" s="16" t="s">
        <v>159</v>
      </c>
      <c r="C220" s="404">
        <f t="shared" si="191"/>
        <v>1500</v>
      </c>
      <c r="D220" s="402">
        <v>0</v>
      </c>
      <c r="E220" s="402">
        <v>0</v>
      </c>
      <c r="F220" s="402">
        <v>1500</v>
      </c>
      <c r="G220" s="402">
        <v>0</v>
      </c>
      <c r="H220" s="402">
        <v>0</v>
      </c>
      <c r="I220" s="404">
        <f t="shared" si="170"/>
        <v>200</v>
      </c>
      <c r="J220" s="402">
        <v>0</v>
      </c>
      <c r="K220" s="402">
        <v>0</v>
      </c>
      <c r="L220" s="403">
        <v>200</v>
      </c>
      <c r="M220" s="402">
        <v>0</v>
      </c>
      <c r="N220" s="402">
        <v>0</v>
      </c>
      <c r="O220" s="117">
        <f t="shared" si="202"/>
        <v>13.333333333333334</v>
      </c>
      <c r="P220" s="404">
        <f t="shared" si="172"/>
        <v>200</v>
      </c>
      <c r="Q220" s="402">
        <v>0</v>
      </c>
      <c r="R220" s="402">
        <v>0</v>
      </c>
      <c r="S220" s="403">
        <v>200</v>
      </c>
      <c r="T220" s="402">
        <v>0</v>
      </c>
      <c r="U220" s="402">
        <v>0</v>
      </c>
    </row>
    <row r="221" spans="1:22" x14ac:dyDescent="0.25">
      <c r="A221" s="469"/>
      <c r="B221" s="180" t="s">
        <v>160</v>
      </c>
      <c r="C221" s="404">
        <f t="shared" si="191"/>
        <v>0</v>
      </c>
      <c r="D221" s="402">
        <v>0</v>
      </c>
      <c r="E221" s="402">
        <v>0</v>
      </c>
      <c r="F221" s="402"/>
      <c r="G221" s="402">
        <v>0</v>
      </c>
      <c r="H221" s="402">
        <v>0</v>
      </c>
      <c r="I221" s="404">
        <f t="shared" si="170"/>
        <v>80</v>
      </c>
      <c r="J221" s="402">
        <v>0</v>
      </c>
      <c r="K221" s="402">
        <v>0</v>
      </c>
      <c r="L221" s="21">
        <f>SUM(L222)</f>
        <v>80</v>
      </c>
      <c r="M221" s="21">
        <v>0</v>
      </c>
      <c r="N221" s="21">
        <v>0</v>
      </c>
      <c r="O221" s="182" t="e">
        <f t="shared" si="202"/>
        <v>#DIV/0!</v>
      </c>
      <c r="P221" s="404">
        <f t="shared" si="172"/>
        <v>79.849999999999994</v>
      </c>
      <c r="Q221" s="21">
        <v>0</v>
      </c>
      <c r="R221" s="21">
        <v>0</v>
      </c>
      <c r="S221" s="21">
        <f>SUM(S222)</f>
        <v>79.849999999999994</v>
      </c>
      <c r="T221" s="402">
        <v>0</v>
      </c>
      <c r="U221" s="402">
        <v>0</v>
      </c>
    </row>
    <row r="222" spans="1:22" ht="47.25" x14ac:dyDescent="0.25">
      <c r="A222" s="63"/>
      <c r="B222" s="17" t="s">
        <v>161</v>
      </c>
      <c r="C222" s="404">
        <f t="shared" si="191"/>
        <v>0</v>
      </c>
      <c r="D222" s="161">
        <v>0</v>
      </c>
      <c r="E222" s="161">
        <v>0</v>
      </c>
      <c r="F222" s="402"/>
      <c r="G222" s="402">
        <v>0</v>
      </c>
      <c r="H222" s="402">
        <v>0</v>
      </c>
      <c r="I222" s="404">
        <f t="shared" si="170"/>
        <v>80</v>
      </c>
      <c r="J222" s="402">
        <v>0</v>
      </c>
      <c r="K222" s="402">
        <v>0</v>
      </c>
      <c r="L222" s="402">
        <v>80</v>
      </c>
      <c r="M222" s="402">
        <v>0</v>
      </c>
      <c r="N222" s="402">
        <v>0</v>
      </c>
      <c r="O222" s="117" t="e">
        <f t="shared" si="202"/>
        <v>#DIV/0!</v>
      </c>
      <c r="P222" s="404">
        <f t="shared" si="172"/>
        <v>79.849999999999994</v>
      </c>
      <c r="Q222" s="402">
        <v>0</v>
      </c>
      <c r="R222" s="402">
        <v>0</v>
      </c>
      <c r="S222" s="402">
        <v>79.849999999999994</v>
      </c>
      <c r="T222" s="402">
        <v>0</v>
      </c>
      <c r="U222" s="402">
        <v>0</v>
      </c>
    </row>
    <row r="223" spans="1:22" ht="31.5" x14ac:dyDescent="0.25">
      <c r="A223" s="52">
        <v>14</v>
      </c>
      <c r="B223" s="24" t="s">
        <v>162</v>
      </c>
      <c r="C223" s="109">
        <f>+C224+C226+C225</f>
        <v>100</v>
      </c>
      <c r="D223" s="109">
        <v>0</v>
      </c>
      <c r="E223" s="109">
        <v>0</v>
      </c>
      <c r="F223" s="109">
        <f>+F224+F226+F225</f>
        <v>100</v>
      </c>
      <c r="G223" s="109">
        <v>0</v>
      </c>
      <c r="H223" s="109">
        <v>0</v>
      </c>
      <c r="I223" s="404">
        <f t="shared" si="170"/>
        <v>100</v>
      </c>
      <c r="J223" s="109">
        <v>0</v>
      </c>
      <c r="K223" s="109">
        <v>0</v>
      </c>
      <c r="L223" s="109">
        <f>+L224+L226+L225</f>
        <v>100</v>
      </c>
      <c r="M223" s="109">
        <v>0</v>
      </c>
      <c r="N223" s="109">
        <v>0</v>
      </c>
      <c r="O223" s="109">
        <f>+O224</f>
        <v>26.1</v>
      </c>
      <c r="P223" s="404">
        <f t="shared" si="172"/>
        <v>100</v>
      </c>
      <c r="Q223" s="51">
        <v>0</v>
      </c>
      <c r="R223" s="51">
        <v>0</v>
      </c>
      <c r="S223" s="109">
        <f>+S224+S226+S225</f>
        <v>100</v>
      </c>
      <c r="T223" s="51">
        <v>0</v>
      </c>
      <c r="U223" s="51">
        <v>0</v>
      </c>
      <c r="V223" s="174"/>
    </row>
    <row r="224" spans="1:22" ht="47.25" x14ac:dyDescent="0.25">
      <c r="A224" s="469"/>
      <c r="B224" s="344" t="s">
        <v>163</v>
      </c>
      <c r="C224" s="51">
        <v>40</v>
      </c>
      <c r="D224" s="118">
        <v>0</v>
      </c>
      <c r="E224" s="118">
        <v>0</v>
      </c>
      <c r="F224" s="118">
        <v>40</v>
      </c>
      <c r="G224" s="118">
        <v>0</v>
      </c>
      <c r="H224" s="118">
        <v>0</v>
      </c>
      <c r="I224" s="404">
        <f t="shared" si="170"/>
        <v>40</v>
      </c>
      <c r="J224" s="118">
        <v>0</v>
      </c>
      <c r="K224" s="118">
        <v>0</v>
      </c>
      <c r="L224" s="118">
        <v>40</v>
      </c>
      <c r="M224" s="118">
        <v>0</v>
      </c>
      <c r="N224" s="118">
        <v>0</v>
      </c>
      <c r="O224" s="118">
        <v>26.1</v>
      </c>
      <c r="P224" s="404">
        <f t="shared" si="172"/>
        <v>40</v>
      </c>
      <c r="Q224" s="110">
        <v>0</v>
      </c>
      <c r="R224" s="110">
        <v>0</v>
      </c>
      <c r="S224" s="118">
        <v>40</v>
      </c>
      <c r="T224" s="118">
        <v>0</v>
      </c>
      <c r="U224" s="118">
        <v>0</v>
      </c>
    </row>
    <row r="225" spans="1:22" ht="31.5" x14ac:dyDescent="0.25">
      <c r="A225" s="469"/>
      <c r="B225" s="344" t="s">
        <v>164</v>
      </c>
      <c r="C225" s="51">
        <v>20</v>
      </c>
      <c r="D225" s="118">
        <v>0</v>
      </c>
      <c r="E225" s="118">
        <v>0</v>
      </c>
      <c r="F225" s="118">
        <v>20</v>
      </c>
      <c r="G225" s="118">
        <v>0</v>
      </c>
      <c r="H225" s="118">
        <v>0</v>
      </c>
      <c r="I225" s="404">
        <f t="shared" si="170"/>
        <v>20</v>
      </c>
      <c r="J225" s="118">
        <v>0</v>
      </c>
      <c r="K225" s="118">
        <v>0</v>
      </c>
      <c r="L225" s="118">
        <v>20</v>
      </c>
      <c r="M225" s="118">
        <v>0</v>
      </c>
      <c r="N225" s="118">
        <v>0</v>
      </c>
      <c r="O225" s="118">
        <v>0</v>
      </c>
      <c r="P225" s="404">
        <f t="shared" si="172"/>
        <v>20</v>
      </c>
      <c r="Q225" s="118">
        <v>0</v>
      </c>
      <c r="R225" s="118">
        <v>0</v>
      </c>
      <c r="S225" s="118">
        <v>20</v>
      </c>
      <c r="T225" s="118">
        <v>0</v>
      </c>
      <c r="U225" s="118">
        <v>0</v>
      </c>
    </row>
    <row r="226" spans="1:22" ht="31.5" x14ac:dyDescent="0.25">
      <c r="A226" s="469"/>
      <c r="B226" s="344" t="s">
        <v>165</v>
      </c>
      <c r="C226" s="51">
        <v>40</v>
      </c>
      <c r="D226" s="118">
        <v>0</v>
      </c>
      <c r="E226" s="118">
        <v>0</v>
      </c>
      <c r="F226" s="118">
        <v>40</v>
      </c>
      <c r="G226" s="118">
        <v>0</v>
      </c>
      <c r="H226" s="118">
        <v>0</v>
      </c>
      <c r="I226" s="404">
        <f t="shared" si="170"/>
        <v>40</v>
      </c>
      <c r="J226" s="118">
        <v>0</v>
      </c>
      <c r="K226" s="118">
        <v>0</v>
      </c>
      <c r="L226" s="118">
        <v>40</v>
      </c>
      <c r="M226" s="118">
        <v>0</v>
      </c>
      <c r="N226" s="118">
        <v>0</v>
      </c>
      <c r="O226" s="118">
        <v>0</v>
      </c>
      <c r="P226" s="404">
        <f t="shared" si="172"/>
        <v>40</v>
      </c>
      <c r="Q226" s="118">
        <v>0</v>
      </c>
      <c r="R226" s="118">
        <v>0</v>
      </c>
      <c r="S226" s="118">
        <v>40</v>
      </c>
      <c r="T226" s="118">
        <v>0</v>
      </c>
      <c r="U226" s="118">
        <v>0</v>
      </c>
    </row>
    <row r="227" spans="1:22" ht="21" customHeight="1" x14ac:dyDescent="0.25">
      <c r="A227" s="52">
        <v>15</v>
      </c>
      <c r="B227" s="8" t="s">
        <v>166</v>
      </c>
      <c r="C227" s="404">
        <f>SUM(D227:H227)</f>
        <v>2975</v>
      </c>
      <c r="D227" s="172">
        <v>0</v>
      </c>
      <c r="E227" s="492">
        <f>SUM(E228,E232,E237,E243,E264,E279)</f>
        <v>650</v>
      </c>
      <c r="F227" s="492">
        <f>SUM(F228,F232,F237,F243,F264,F279)</f>
        <v>2225</v>
      </c>
      <c r="G227" s="36">
        <v>0</v>
      </c>
      <c r="H227" s="36">
        <f>SUM(H228+H234+H246+H253+H273)+H282</f>
        <v>100</v>
      </c>
      <c r="I227" s="404">
        <f t="shared" si="170"/>
        <v>1218.1990000000001</v>
      </c>
      <c r="J227" s="172">
        <v>0</v>
      </c>
      <c r="K227" s="125">
        <f>SUM(K228,K232,K237,K243,K264,K279)</f>
        <v>341.19900000000001</v>
      </c>
      <c r="L227" s="125">
        <f>SUM(L228,L232,L237,L243,L264,L279)</f>
        <v>877</v>
      </c>
      <c r="M227" s="36">
        <v>0</v>
      </c>
      <c r="N227" s="492">
        <f>SUM(N228,N232,N237,N243,N264,N279)</f>
        <v>0</v>
      </c>
      <c r="O227" s="172"/>
      <c r="P227" s="404">
        <f t="shared" si="172"/>
        <v>1134.059</v>
      </c>
      <c r="Q227" s="172">
        <v>0</v>
      </c>
      <c r="R227" s="125">
        <f>SUM(R228,R232,R237,R243,R264,R279)</f>
        <v>341.19900000000001</v>
      </c>
      <c r="S227" s="492">
        <f>SUM(S228,S232,S237,S243,S264,S279)</f>
        <v>792.8599999999999</v>
      </c>
      <c r="T227" s="36">
        <v>0</v>
      </c>
      <c r="U227" s="36">
        <f>SUM(U228+U234+U246+U253+U273)+U282</f>
        <v>0</v>
      </c>
      <c r="V227" s="174"/>
    </row>
    <row r="228" spans="1:22" ht="21.75" customHeight="1" x14ac:dyDescent="0.25">
      <c r="A228" s="46"/>
      <c r="B228" s="92" t="s">
        <v>1027</v>
      </c>
      <c r="C228" s="404">
        <f t="shared" ref="C228:C233" si="212">SUM(D228:H228)</f>
        <v>520</v>
      </c>
      <c r="D228" s="489">
        <v>0</v>
      </c>
      <c r="E228" s="491">
        <v>0</v>
      </c>
      <c r="F228" s="432">
        <f>SUM(F229:F231)</f>
        <v>520</v>
      </c>
      <c r="G228" s="489">
        <v>0</v>
      </c>
      <c r="H228" s="489">
        <v>0</v>
      </c>
      <c r="I228" s="404">
        <f t="shared" si="170"/>
        <v>135</v>
      </c>
      <c r="J228" s="118">
        <v>0</v>
      </c>
      <c r="K228" s="118">
        <v>0</v>
      </c>
      <c r="L228" s="432">
        <f>SUM(L229:L231)</f>
        <v>135</v>
      </c>
      <c r="M228" s="118">
        <v>0</v>
      </c>
      <c r="N228" s="118">
        <v>0</v>
      </c>
      <c r="O228" s="171"/>
      <c r="P228" s="404">
        <f t="shared" si="172"/>
        <v>126</v>
      </c>
      <c r="Q228" s="118">
        <v>0</v>
      </c>
      <c r="R228" s="118">
        <v>0</v>
      </c>
      <c r="S228" s="162">
        <f>SUM(S229:S230)</f>
        <v>126</v>
      </c>
      <c r="T228" s="118">
        <v>0</v>
      </c>
      <c r="U228" s="118">
        <v>0</v>
      </c>
    </row>
    <row r="229" spans="1:22" ht="21.75" customHeight="1" x14ac:dyDescent="0.25">
      <c r="A229" s="46"/>
      <c r="B229" s="31" t="s">
        <v>167</v>
      </c>
      <c r="C229" s="404">
        <f t="shared" si="212"/>
        <v>500</v>
      </c>
      <c r="D229" s="489">
        <v>0</v>
      </c>
      <c r="E229" s="491">
        <v>0</v>
      </c>
      <c r="F229" s="489">
        <v>500</v>
      </c>
      <c r="G229" s="489">
        <v>0</v>
      </c>
      <c r="H229" s="489">
        <v>0</v>
      </c>
      <c r="I229" s="404">
        <f t="shared" si="170"/>
        <v>100</v>
      </c>
      <c r="J229" s="118">
        <v>0</v>
      </c>
      <c r="K229" s="118">
        <v>0</v>
      </c>
      <c r="L229" s="504">
        <v>100</v>
      </c>
      <c r="M229" s="118">
        <v>0</v>
      </c>
      <c r="N229" s="118">
        <v>0</v>
      </c>
      <c r="O229" s="171"/>
      <c r="P229" s="404">
        <f t="shared" si="172"/>
        <v>100</v>
      </c>
      <c r="Q229" s="118">
        <v>0</v>
      </c>
      <c r="R229" s="118">
        <v>0</v>
      </c>
      <c r="S229" s="489">
        <v>100</v>
      </c>
      <c r="T229" s="118">
        <v>0</v>
      </c>
      <c r="U229" s="118">
        <v>0</v>
      </c>
    </row>
    <row r="230" spans="1:22" ht="36" customHeight="1" x14ac:dyDescent="0.25">
      <c r="A230" s="46"/>
      <c r="B230" s="91" t="s">
        <v>168</v>
      </c>
      <c r="C230" s="404">
        <f t="shared" si="212"/>
        <v>5</v>
      </c>
      <c r="D230" s="489">
        <v>0</v>
      </c>
      <c r="E230" s="491">
        <v>0</v>
      </c>
      <c r="F230" s="489">
        <v>5</v>
      </c>
      <c r="G230" s="489">
        <v>0</v>
      </c>
      <c r="H230" s="489">
        <v>0</v>
      </c>
      <c r="I230" s="404">
        <f t="shared" si="170"/>
        <v>26</v>
      </c>
      <c r="J230" s="118">
        <v>0</v>
      </c>
      <c r="K230" s="118">
        <v>0</v>
      </c>
      <c r="L230" s="504">
        <v>26</v>
      </c>
      <c r="M230" s="118">
        <v>0</v>
      </c>
      <c r="N230" s="118">
        <v>0</v>
      </c>
      <c r="O230" s="171"/>
      <c r="P230" s="404">
        <f t="shared" si="172"/>
        <v>26</v>
      </c>
      <c r="Q230" s="118">
        <v>0</v>
      </c>
      <c r="R230" s="118">
        <v>0</v>
      </c>
      <c r="S230" s="506">
        <v>26</v>
      </c>
      <c r="T230" s="118">
        <v>0</v>
      </c>
      <c r="U230" s="118">
        <v>0</v>
      </c>
    </row>
    <row r="231" spans="1:22" ht="47.25" x14ac:dyDescent="0.25">
      <c r="A231" s="46"/>
      <c r="B231" s="91" t="s">
        <v>169</v>
      </c>
      <c r="C231" s="404">
        <f t="shared" si="212"/>
        <v>15</v>
      </c>
      <c r="D231" s="489">
        <v>0</v>
      </c>
      <c r="E231" s="491">
        <v>0</v>
      </c>
      <c r="F231" s="489">
        <v>15</v>
      </c>
      <c r="G231" s="489">
        <v>0</v>
      </c>
      <c r="H231" s="489">
        <v>0</v>
      </c>
      <c r="I231" s="404">
        <f t="shared" si="170"/>
        <v>9</v>
      </c>
      <c r="J231" s="118">
        <v>0</v>
      </c>
      <c r="K231" s="118">
        <v>0</v>
      </c>
      <c r="L231" s="507">
        <v>9</v>
      </c>
      <c r="M231" s="118">
        <v>0</v>
      </c>
      <c r="N231" s="118">
        <v>0</v>
      </c>
      <c r="O231" s="171"/>
      <c r="P231" s="404">
        <f t="shared" si="172"/>
        <v>0</v>
      </c>
      <c r="Q231" s="118">
        <v>0</v>
      </c>
      <c r="R231" s="118">
        <v>0</v>
      </c>
      <c r="S231" s="506">
        <v>0</v>
      </c>
      <c r="T231" s="118">
        <v>0</v>
      </c>
      <c r="U231" s="118">
        <v>0</v>
      </c>
    </row>
    <row r="232" spans="1:22" ht="36" customHeight="1" x14ac:dyDescent="0.25">
      <c r="A232" s="46"/>
      <c r="B232" s="92" t="s">
        <v>728</v>
      </c>
      <c r="C232" s="404">
        <f t="shared" si="212"/>
        <v>190</v>
      </c>
      <c r="D232" s="489">
        <v>0</v>
      </c>
      <c r="E232" s="432">
        <f>SUM(E233+E235)</f>
        <v>0</v>
      </c>
      <c r="F232" s="432">
        <f>SUM(F233+F235)</f>
        <v>190</v>
      </c>
      <c r="G232" s="489">
        <v>0</v>
      </c>
      <c r="H232" s="489">
        <v>0</v>
      </c>
      <c r="I232" s="404">
        <f t="shared" si="170"/>
        <v>20</v>
      </c>
      <c r="J232" s="118">
        <v>0</v>
      </c>
      <c r="K232" s="432">
        <f>SUM(K233+K235)</f>
        <v>0</v>
      </c>
      <c r="L232" s="432">
        <f>SUM(L233+L235)</f>
        <v>20</v>
      </c>
      <c r="M232" s="118">
        <v>0</v>
      </c>
      <c r="N232" s="118">
        <v>0</v>
      </c>
      <c r="O232" s="171"/>
      <c r="P232" s="404">
        <f t="shared" si="172"/>
        <v>20</v>
      </c>
      <c r="Q232" s="118">
        <v>0</v>
      </c>
      <c r="R232" s="118">
        <v>0</v>
      </c>
      <c r="S232" s="162">
        <f>SUM(S233+S235)</f>
        <v>20</v>
      </c>
      <c r="T232" s="118">
        <v>0</v>
      </c>
      <c r="U232" s="118">
        <v>0</v>
      </c>
    </row>
    <row r="233" spans="1:22" ht="26.25" customHeight="1" x14ac:dyDescent="0.25">
      <c r="A233" s="46"/>
      <c r="B233" s="93" t="s">
        <v>769</v>
      </c>
      <c r="C233" s="404">
        <f t="shared" si="212"/>
        <v>50</v>
      </c>
      <c r="D233" s="489">
        <v>0</v>
      </c>
      <c r="E233" s="491">
        <v>0</v>
      </c>
      <c r="F233" s="432">
        <v>50</v>
      </c>
      <c r="G233" s="489">
        <v>0</v>
      </c>
      <c r="H233" s="489">
        <v>0</v>
      </c>
      <c r="I233" s="404">
        <f t="shared" si="170"/>
        <v>15</v>
      </c>
      <c r="J233" s="118">
        <v>0</v>
      </c>
      <c r="K233" s="118">
        <v>0</v>
      </c>
      <c r="L233" s="493">
        <v>15</v>
      </c>
      <c r="M233" s="118">
        <v>0</v>
      </c>
      <c r="N233" s="118">
        <v>0</v>
      </c>
      <c r="O233" s="171"/>
      <c r="P233" s="404">
        <f t="shared" si="172"/>
        <v>15</v>
      </c>
      <c r="Q233" s="118">
        <v>0</v>
      </c>
      <c r="R233" s="118">
        <v>0</v>
      </c>
      <c r="S233" s="493">
        <v>15</v>
      </c>
      <c r="T233" s="118">
        <v>0</v>
      </c>
      <c r="U233" s="118">
        <v>0</v>
      </c>
    </row>
    <row r="234" spans="1:22" ht="48.75" customHeight="1" x14ac:dyDescent="0.25">
      <c r="A234" s="47"/>
      <c r="B234" s="94" t="s">
        <v>170</v>
      </c>
      <c r="C234" s="404">
        <f t="shared" ref="C234:C282" si="213">SUM(D234:H234)</f>
        <v>50</v>
      </c>
      <c r="D234" s="489">
        <v>0</v>
      </c>
      <c r="E234" s="491">
        <v>0</v>
      </c>
      <c r="F234" s="433">
        <v>50</v>
      </c>
      <c r="G234" s="489">
        <v>0</v>
      </c>
      <c r="H234" s="489">
        <v>0</v>
      </c>
      <c r="I234" s="404">
        <f t="shared" si="170"/>
        <v>15</v>
      </c>
      <c r="J234" s="118">
        <v>0</v>
      </c>
      <c r="K234" s="118">
        <v>0</v>
      </c>
      <c r="L234" s="494">
        <v>15</v>
      </c>
      <c r="M234" s="118">
        <v>0</v>
      </c>
      <c r="N234" s="118">
        <v>0</v>
      </c>
      <c r="O234" s="171"/>
      <c r="P234" s="404">
        <f t="shared" si="172"/>
        <v>15</v>
      </c>
      <c r="Q234" s="118">
        <v>0</v>
      </c>
      <c r="R234" s="118">
        <v>0</v>
      </c>
      <c r="S234" s="494">
        <v>15</v>
      </c>
      <c r="T234" s="118">
        <v>0</v>
      </c>
      <c r="U234" s="118">
        <v>0</v>
      </c>
    </row>
    <row r="235" spans="1:22" ht="21.75" customHeight="1" x14ac:dyDescent="0.25">
      <c r="A235" s="48"/>
      <c r="B235" s="93" t="s">
        <v>768</v>
      </c>
      <c r="C235" s="404">
        <f t="shared" si="213"/>
        <v>140</v>
      </c>
      <c r="D235" s="489">
        <v>0</v>
      </c>
      <c r="E235" s="491">
        <v>0</v>
      </c>
      <c r="F235" s="432">
        <v>140</v>
      </c>
      <c r="G235" s="489">
        <v>0</v>
      </c>
      <c r="H235" s="489">
        <v>0</v>
      </c>
      <c r="I235" s="404">
        <f t="shared" si="170"/>
        <v>5</v>
      </c>
      <c r="J235" s="118">
        <v>0</v>
      </c>
      <c r="K235" s="118">
        <v>0</v>
      </c>
      <c r="L235" s="493">
        <v>5</v>
      </c>
      <c r="M235" s="118">
        <v>0</v>
      </c>
      <c r="N235" s="118">
        <v>0</v>
      </c>
      <c r="O235" s="171"/>
      <c r="P235" s="404">
        <f t="shared" si="172"/>
        <v>5</v>
      </c>
      <c r="Q235" s="118">
        <v>0</v>
      </c>
      <c r="R235" s="118">
        <v>0</v>
      </c>
      <c r="S235" s="493">
        <v>5</v>
      </c>
      <c r="T235" s="118">
        <v>0</v>
      </c>
      <c r="U235" s="118">
        <v>0</v>
      </c>
    </row>
    <row r="236" spans="1:22" ht="31.5" x14ac:dyDescent="0.25">
      <c r="A236" s="47"/>
      <c r="B236" s="95" t="s">
        <v>171</v>
      </c>
      <c r="C236" s="404">
        <f t="shared" si="213"/>
        <v>140</v>
      </c>
      <c r="D236" s="489">
        <v>0</v>
      </c>
      <c r="E236" s="491">
        <v>0</v>
      </c>
      <c r="F236" s="433">
        <v>140</v>
      </c>
      <c r="G236" s="489">
        <v>0</v>
      </c>
      <c r="H236" s="489">
        <v>0</v>
      </c>
      <c r="I236" s="404">
        <f t="shared" si="170"/>
        <v>5</v>
      </c>
      <c r="J236" s="118">
        <v>0</v>
      </c>
      <c r="K236" s="118">
        <v>0</v>
      </c>
      <c r="L236" s="494">
        <v>5</v>
      </c>
      <c r="M236" s="118">
        <v>0</v>
      </c>
      <c r="N236" s="118">
        <v>0</v>
      </c>
      <c r="O236" s="171"/>
      <c r="P236" s="404">
        <f t="shared" si="172"/>
        <v>5</v>
      </c>
      <c r="Q236" s="118">
        <v>0</v>
      </c>
      <c r="R236" s="118">
        <v>0</v>
      </c>
      <c r="S236" s="494">
        <v>5</v>
      </c>
      <c r="T236" s="118">
        <v>0</v>
      </c>
      <c r="U236" s="118">
        <v>0</v>
      </c>
    </row>
    <row r="237" spans="1:22" ht="21" customHeight="1" x14ac:dyDescent="0.25">
      <c r="A237" s="49"/>
      <c r="B237" s="92" t="s">
        <v>729</v>
      </c>
      <c r="C237" s="404">
        <f t="shared" si="213"/>
        <v>275</v>
      </c>
      <c r="D237" s="489">
        <v>0</v>
      </c>
      <c r="E237" s="490">
        <f>SUM(E238:E242)</f>
        <v>0</v>
      </c>
      <c r="F237" s="490">
        <f>SUM(F238:F242)</f>
        <v>275</v>
      </c>
      <c r="G237" s="489">
        <v>0</v>
      </c>
      <c r="H237" s="489">
        <v>0</v>
      </c>
      <c r="I237" s="404">
        <f t="shared" si="170"/>
        <v>75</v>
      </c>
      <c r="J237" s="118">
        <v>0</v>
      </c>
      <c r="K237" s="490">
        <f>SUM(K238:K242)</f>
        <v>0</v>
      </c>
      <c r="L237" s="493">
        <v>75</v>
      </c>
      <c r="M237" s="118">
        <v>0</v>
      </c>
      <c r="N237" s="118">
        <v>0</v>
      </c>
      <c r="O237" s="171"/>
      <c r="P237" s="404">
        <f t="shared" si="172"/>
        <v>25</v>
      </c>
      <c r="Q237" s="118">
        <v>0</v>
      </c>
      <c r="R237" s="118">
        <v>0</v>
      </c>
      <c r="S237" s="493">
        <v>25</v>
      </c>
      <c r="T237" s="118">
        <v>0</v>
      </c>
      <c r="U237" s="118">
        <v>0</v>
      </c>
    </row>
    <row r="238" spans="1:22" ht="31.5" x14ac:dyDescent="0.25">
      <c r="A238" s="47"/>
      <c r="B238" s="91" t="s">
        <v>172</v>
      </c>
      <c r="C238" s="404">
        <f t="shared" si="213"/>
        <v>150</v>
      </c>
      <c r="D238" s="489">
        <v>0</v>
      </c>
      <c r="E238" s="491">
        <v>0</v>
      </c>
      <c r="F238" s="489">
        <v>150</v>
      </c>
      <c r="G238" s="489">
        <v>0</v>
      </c>
      <c r="H238" s="489">
        <v>0</v>
      </c>
      <c r="I238" s="404">
        <f>SUM(J238:N238)</f>
        <v>75</v>
      </c>
      <c r="J238" s="118">
        <v>0</v>
      </c>
      <c r="K238" s="118">
        <v>0</v>
      </c>
      <c r="L238" s="494">
        <v>75</v>
      </c>
      <c r="M238" s="118">
        <v>0</v>
      </c>
      <c r="N238" s="118">
        <v>0</v>
      </c>
      <c r="O238" s="171"/>
      <c r="P238" s="404">
        <f t="shared" si="172"/>
        <v>25</v>
      </c>
      <c r="Q238" s="118">
        <v>0</v>
      </c>
      <c r="R238" s="118">
        <v>0</v>
      </c>
      <c r="S238" s="494">
        <v>25</v>
      </c>
      <c r="T238" s="118">
        <v>0</v>
      </c>
      <c r="U238" s="118">
        <v>0</v>
      </c>
    </row>
    <row r="239" spans="1:22" ht="31.5" x14ac:dyDescent="0.25">
      <c r="A239" s="47"/>
      <c r="B239" s="91" t="s">
        <v>1012</v>
      </c>
      <c r="C239" s="404">
        <f t="shared" si="213"/>
        <v>15</v>
      </c>
      <c r="D239" s="113"/>
      <c r="E239" s="491">
        <v>0</v>
      </c>
      <c r="F239" s="489">
        <v>15</v>
      </c>
      <c r="G239" s="113"/>
      <c r="H239" s="113"/>
      <c r="I239" s="488">
        <f t="shared" ref="I239:I242" si="214">SUM(J239:N239)</f>
        <v>15</v>
      </c>
      <c r="J239" s="491">
        <v>0</v>
      </c>
      <c r="K239" s="491">
        <v>0</v>
      </c>
      <c r="L239" s="489">
        <v>15</v>
      </c>
      <c r="M239" s="491">
        <v>0</v>
      </c>
      <c r="N239" s="491">
        <v>0</v>
      </c>
      <c r="O239" s="171"/>
      <c r="P239" s="404">
        <v>0</v>
      </c>
      <c r="Q239" s="491">
        <v>0</v>
      </c>
      <c r="R239" s="491">
        <v>0</v>
      </c>
      <c r="S239" s="491">
        <v>0</v>
      </c>
      <c r="T239" s="491">
        <v>0</v>
      </c>
      <c r="U239" s="491">
        <v>0</v>
      </c>
    </row>
    <row r="240" spans="1:22" ht="31.5" x14ac:dyDescent="0.25">
      <c r="A240" s="47"/>
      <c r="B240" s="91" t="s">
        <v>1013</v>
      </c>
      <c r="C240" s="404">
        <f t="shared" si="213"/>
        <v>90</v>
      </c>
      <c r="D240" s="113"/>
      <c r="E240" s="491">
        <v>0</v>
      </c>
      <c r="F240" s="489">
        <v>90</v>
      </c>
      <c r="G240" s="113"/>
      <c r="H240" s="113"/>
      <c r="I240" s="488">
        <f t="shared" si="214"/>
        <v>90</v>
      </c>
      <c r="J240" s="491">
        <v>0</v>
      </c>
      <c r="K240" s="491">
        <v>0</v>
      </c>
      <c r="L240" s="489">
        <v>90</v>
      </c>
      <c r="M240" s="491">
        <v>0</v>
      </c>
      <c r="N240" s="491">
        <v>0</v>
      </c>
      <c r="O240" s="171"/>
      <c r="P240" s="404">
        <v>0</v>
      </c>
      <c r="Q240" s="491">
        <v>0</v>
      </c>
      <c r="R240" s="491">
        <v>0</v>
      </c>
      <c r="S240" s="491">
        <v>0</v>
      </c>
      <c r="T240" s="491">
        <v>0</v>
      </c>
      <c r="U240" s="491">
        <v>0</v>
      </c>
    </row>
    <row r="241" spans="1:21" ht="31.5" x14ac:dyDescent="0.25">
      <c r="A241" s="47"/>
      <c r="B241" s="91" t="s">
        <v>1014</v>
      </c>
      <c r="C241" s="404">
        <f t="shared" si="213"/>
        <v>5</v>
      </c>
      <c r="D241" s="113"/>
      <c r="E241" s="491">
        <v>0</v>
      </c>
      <c r="F241" s="489">
        <v>5</v>
      </c>
      <c r="G241" s="113"/>
      <c r="H241" s="113"/>
      <c r="I241" s="488">
        <f t="shared" si="214"/>
        <v>5</v>
      </c>
      <c r="J241" s="491">
        <v>0</v>
      </c>
      <c r="K241" s="491">
        <v>0</v>
      </c>
      <c r="L241" s="489">
        <v>5</v>
      </c>
      <c r="M241" s="491">
        <v>0</v>
      </c>
      <c r="N241" s="491">
        <v>0</v>
      </c>
      <c r="O241" s="171"/>
      <c r="P241" s="404">
        <v>0</v>
      </c>
      <c r="Q241" s="491">
        <v>0</v>
      </c>
      <c r="R241" s="491">
        <v>0</v>
      </c>
      <c r="S241" s="491">
        <v>0</v>
      </c>
      <c r="T241" s="491">
        <v>0</v>
      </c>
      <c r="U241" s="491">
        <v>0</v>
      </c>
    </row>
    <row r="242" spans="1:21" ht="31.5" x14ac:dyDescent="0.25">
      <c r="A242" s="47"/>
      <c r="B242" s="91" t="s">
        <v>1015</v>
      </c>
      <c r="C242" s="404">
        <f t="shared" si="213"/>
        <v>15</v>
      </c>
      <c r="D242" s="113"/>
      <c r="E242" s="491">
        <v>0</v>
      </c>
      <c r="F242" s="489">
        <v>15</v>
      </c>
      <c r="G242" s="113"/>
      <c r="H242" s="113"/>
      <c r="I242" s="488">
        <f t="shared" si="214"/>
        <v>15</v>
      </c>
      <c r="J242" s="491">
        <v>0</v>
      </c>
      <c r="K242" s="491">
        <v>0</v>
      </c>
      <c r="L242" s="489">
        <v>15</v>
      </c>
      <c r="M242" s="491">
        <v>0</v>
      </c>
      <c r="N242" s="491">
        <v>0</v>
      </c>
      <c r="O242" s="171"/>
      <c r="P242" s="404">
        <v>0</v>
      </c>
      <c r="Q242" s="491">
        <v>0</v>
      </c>
      <c r="R242" s="491">
        <v>0</v>
      </c>
      <c r="S242" s="491">
        <v>0</v>
      </c>
      <c r="T242" s="491">
        <v>0</v>
      </c>
      <c r="U242" s="491">
        <v>0</v>
      </c>
    </row>
    <row r="243" spans="1:21" ht="23.25" customHeight="1" x14ac:dyDescent="0.25">
      <c r="A243" s="49"/>
      <c r="B243" s="92" t="s">
        <v>767</v>
      </c>
      <c r="C243" s="404">
        <f t="shared" si="213"/>
        <v>1355</v>
      </c>
      <c r="D243" s="489">
        <v>0</v>
      </c>
      <c r="E243" s="432">
        <f>SUM(E244,E247,E253)+E262+E263</f>
        <v>240</v>
      </c>
      <c r="F243" s="432">
        <f>SUM(F244,F247,F253)+F262+F263</f>
        <v>1115</v>
      </c>
      <c r="G243" s="113">
        <v>0</v>
      </c>
      <c r="H243" s="113">
        <v>0</v>
      </c>
      <c r="I243" s="404">
        <f t="shared" si="170"/>
        <v>249.96</v>
      </c>
      <c r="J243" s="118">
        <v>0</v>
      </c>
      <c r="K243" s="432">
        <f>SUM(K244,K247,K253)+K262+K263</f>
        <v>0</v>
      </c>
      <c r="L243" s="493">
        <f>SUM(L244,L247,L253)</f>
        <v>249.96</v>
      </c>
      <c r="M243" s="118">
        <v>0</v>
      </c>
      <c r="N243" s="432">
        <f>SUM(N244,N247,N253)+N262+N263</f>
        <v>0</v>
      </c>
      <c r="O243" s="171"/>
      <c r="P243" s="404">
        <f t="shared" si="172"/>
        <v>224.96</v>
      </c>
      <c r="Q243" s="118">
        <v>0</v>
      </c>
      <c r="R243" s="118">
        <v>0</v>
      </c>
      <c r="S243" s="497">
        <v>224.96</v>
      </c>
      <c r="T243" s="118">
        <v>0</v>
      </c>
      <c r="U243" s="118">
        <v>0</v>
      </c>
    </row>
    <row r="244" spans="1:21" ht="21" customHeight="1" x14ac:dyDescent="0.25">
      <c r="A244" s="48"/>
      <c r="B244" s="93" t="s">
        <v>730</v>
      </c>
      <c r="C244" s="404">
        <f t="shared" si="213"/>
        <v>125</v>
      </c>
      <c r="D244" s="489">
        <v>0</v>
      </c>
      <c r="E244" s="491">
        <v>0</v>
      </c>
      <c r="F244" s="432">
        <f>SUM(F245:F246)</f>
        <v>125</v>
      </c>
      <c r="G244" s="113">
        <v>0</v>
      </c>
      <c r="H244" s="113">
        <v>0</v>
      </c>
      <c r="I244" s="404">
        <f t="shared" si="170"/>
        <v>20</v>
      </c>
      <c r="J244" s="118">
        <v>0</v>
      </c>
      <c r="K244" s="118">
        <v>0</v>
      </c>
      <c r="L244" s="493">
        <v>20</v>
      </c>
      <c r="M244" s="118">
        <v>0</v>
      </c>
      <c r="N244" s="118">
        <v>0</v>
      </c>
      <c r="O244" s="171"/>
      <c r="P244" s="404">
        <f t="shared" si="172"/>
        <v>20</v>
      </c>
      <c r="Q244" s="118">
        <v>0</v>
      </c>
      <c r="R244" s="118">
        <v>0</v>
      </c>
      <c r="S244" s="495">
        <v>20</v>
      </c>
      <c r="T244" s="118">
        <v>0</v>
      </c>
      <c r="U244" s="118">
        <v>0</v>
      </c>
    </row>
    <row r="245" spans="1:21" ht="31.5" x14ac:dyDescent="0.25">
      <c r="A245" s="47"/>
      <c r="B245" s="31" t="s">
        <v>173</v>
      </c>
      <c r="C245" s="404">
        <f t="shared" si="213"/>
        <v>15</v>
      </c>
      <c r="D245" s="489">
        <v>0</v>
      </c>
      <c r="E245" s="491">
        <v>0</v>
      </c>
      <c r="F245" s="433">
        <v>15</v>
      </c>
      <c r="G245" s="113">
        <v>0</v>
      </c>
      <c r="H245" s="113">
        <v>0</v>
      </c>
      <c r="I245" s="404">
        <f t="shared" si="170"/>
        <v>8</v>
      </c>
      <c r="J245" s="118">
        <v>0</v>
      </c>
      <c r="K245" s="118">
        <v>0</v>
      </c>
      <c r="L245" s="494">
        <v>8</v>
      </c>
      <c r="M245" s="118">
        <v>0</v>
      </c>
      <c r="N245" s="118">
        <v>0</v>
      </c>
      <c r="O245" s="171"/>
      <c r="P245" s="404">
        <f t="shared" si="172"/>
        <v>8</v>
      </c>
      <c r="Q245" s="118">
        <v>0</v>
      </c>
      <c r="R245" s="118">
        <v>0</v>
      </c>
      <c r="S245" s="494">
        <v>8</v>
      </c>
      <c r="T245" s="118">
        <v>0</v>
      </c>
      <c r="U245" s="118">
        <v>0</v>
      </c>
    </row>
    <row r="246" spans="1:21" ht="36" customHeight="1" x14ac:dyDescent="0.25">
      <c r="A246" s="47"/>
      <c r="B246" s="31" t="s">
        <v>174</v>
      </c>
      <c r="C246" s="404">
        <f t="shared" si="213"/>
        <v>110</v>
      </c>
      <c r="D246" s="489">
        <v>0</v>
      </c>
      <c r="E246" s="491">
        <v>0</v>
      </c>
      <c r="F246" s="433">
        <v>110</v>
      </c>
      <c r="G246" s="113">
        <v>0</v>
      </c>
      <c r="H246" s="113">
        <v>0</v>
      </c>
      <c r="I246" s="404">
        <f t="shared" si="170"/>
        <v>12</v>
      </c>
      <c r="J246" s="118">
        <v>0</v>
      </c>
      <c r="K246" s="118">
        <v>0</v>
      </c>
      <c r="L246" s="494">
        <v>12</v>
      </c>
      <c r="M246" s="118">
        <v>0</v>
      </c>
      <c r="N246" s="118">
        <v>0</v>
      </c>
      <c r="O246" s="171"/>
      <c r="P246" s="404">
        <f t="shared" si="172"/>
        <v>12</v>
      </c>
      <c r="Q246" s="118">
        <v>0</v>
      </c>
      <c r="R246" s="118">
        <v>0</v>
      </c>
      <c r="S246" s="494">
        <v>12</v>
      </c>
      <c r="T246" s="118">
        <v>0</v>
      </c>
      <c r="U246" s="118">
        <v>0</v>
      </c>
    </row>
    <row r="247" spans="1:21" ht="34.5" customHeight="1" x14ac:dyDescent="0.25">
      <c r="A247" s="50"/>
      <c r="B247" s="93" t="s">
        <v>731</v>
      </c>
      <c r="C247" s="404">
        <f t="shared" si="213"/>
        <v>345</v>
      </c>
      <c r="D247" s="489">
        <v>0</v>
      </c>
      <c r="E247" s="491">
        <v>0</v>
      </c>
      <c r="F247" s="432">
        <f>SUM(F248:F252)</f>
        <v>345</v>
      </c>
      <c r="G247" s="113">
        <v>0</v>
      </c>
      <c r="H247" s="113">
        <v>0</v>
      </c>
      <c r="I247" s="404">
        <f t="shared" si="170"/>
        <v>155.78</v>
      </c>
      <c r="J247" s="118">
        <v>0</v>
      </c>
      <c r="K247" s="118">
        <v>0</v>
      </c>
      <c r="L247" s="493">
        <f>SUM(L248:L251)</f>
        <v>155.78</v>
      </c>
      <c r="M247" s="118">
        <v>0</v>
      </c>
      <c r="N247" s="501">
        <v>0</v>
      </c>
      <c r="O247" s="171"/>
      <c r="P247" s="404">
        <f t="shared" si="172"/>
        <v>130.78</v>
      </c>
      <c r="Q247" s="118">
        <v>0</v>
      </c>
      <c r="R247" s="118">
        <v>0</v>
      </c>
      <c r="S247" s="493">
        <f>SUM(S248:S251)</f>
        <v>130.78</v>
      </c>
      <c r="T247" s="118">
        <v>0</v>
      </c>
      <c r="U247" s="118">
        <v>0</v>
      </c>
    </row>
    <row r="248" spans="1:21" ht="31.5" x14ac:dyDescent="0.25">
      <c r="A248" s="47"/>
      <c r="B248" s="95" t="s">
        <v>175</v>
      </c>
      <c r="C248" s="404">
        <f t="shared" si="213"/>
        <v>130</v>
      </c>
      <c r="D248" s="489">
        <v>0</v>
      </c>
      <c r="E248" s="491">
        <v>0</v>
      </c>
      <c r="F248" s="489">
        <v>130</v>
      </c>
      <c r="G248" s="489">
        <v>0</v>
      </c>
      <c r="H248" s="489">
        <v>0</v>
      </c>
      <c r="I248" s="404">
        <f t="shared" si="170"/>
        <v>60</v>
      </c>
      <c r="J248" s="118">
        <v>0</v>
      </c>
      <c r="K248" s="118">
        <v>0</v>
      </c>
      <c r="L248" s="494">
        <v>60</v>
      </c>
      <c r="M248" s="118">
        <v>0</v>
      </c>
      <c r="N248" s="118">
        <v>0</v>
      </c>
      <c r="O248" s="171"/>
      <c r="P248" s="404">
        <f t="shared" si="172"/>
        <v>60</v>
      </c>
      <c r="Q248" s="118">
        <v>0</v>
      </c>
      <c r="R248" s="118">
        <v>0</v>
      </c>
      <c r="S248" s="496">
        <v>60</v>
      </c>
      <c r="T248" s="118">
        <v>0</v>
      </c>
      <c r="U248" s="118">
        <v>0</v>
      </c>
    </row>
    <row r="249" spans="1:21" ht="31.5" x14ac:dyDescent="0.25">
      <c r="A249" s="47"/>
      <c r="B249" s="95" t="s">
        <v>176</v>
      </c>
      <c r="C249" s="404">
        <f t="shared" si="213"/>
        <v>25</v>
      </c>
      <c r="D249" s="489">
        <v>0</v>
      </c>
      <c r="E249" s="491">
        <v>0</v>
      </c>
      <c r="F249" s="489">
        <v>25</v>
      </c>
      <c r="G249" s="489">
        <v>0</v>
      </c>
      <c r="H249" s="489">
        <v>0</v>
      </c>
      <c r="I249" s="404">
        <f t="shared" si="170"/>
        <v>25</v>
      </c>
      <c r="J249" s="118">
        <v>0</v>
      </c>
      <c r="K249" s="118">
        <v>0</v>
      </c>
      <c r="L249" s="494">
        <v>25</v>
      </c>
      <c r="M249" s="118">
        <v>0</v>
      </c>
      <c r="N249" s="118">
        <v>0</v>
      </c>
      <c r="O249" s="171"/>
      <c r="P249" s="404">
        <f t="shared" si="172"/>
        <v>0</v>
      </c>
      <c r="Q249" s="118">
        <v>0</v>
      </c>
      <c r="R249" s="118">
        <v>0</v>
      </c>
      <c r="S249" s="498">
        <v>0</v>
      </c>
      <c r="T249" s="118">
        <v>0</v>
      </c>
      <c r="U249" s="118">
        <v>0</v>
      </c>
    </row>
    <row r="250" spans="1:21" ht="33" customHeight="1" x14ac:dyDescent="0.25">
      <c r="A250" s="47"/>
      <c r="B250" s="95" t="s">
        <v>177</v>
      </c>
      <c r="C250" s="404">
        <f t="shared" si="213"/>
        <v>25</v>
      </c>
      <c r="D250" s="489">
        <v>0</v>
      </c>
      <c r="E250" s="491">
        <v>0</v>
      </c>
      <c r="F250" s="489">
        <v>25</v>
      </c>
      <c r="G250" s="489">
        <v>0</v>
      </c>
      <c r="H250" s="489">
        <v>0</v>
      </c>
      <c r="I250" s="404">
        <f t="shared" si="170"/>
        <v>25</v>
      </c>
      <c r="J250" s="118">
        <v>0</v>
      </c>
      <c r="K250" s="118">
        <v>0</v>
      </c>
      <c r="L250" s="494">
        <v>25</v>
      </c>
      <c r="M250" s="118">
        <v>0</v>
      </c>
      <c r="N250" s="118">
        <v>0</v>
      </c>
      <c r="O250" s="171"/>
      <c r="P250" s="404">
        <f t="shared" si="172"/>
        <v>25</v>
      </c>
      <c r="Q250" s="118">
        <v>0</v>
      </c>
      <c r="R250" s="118">
        <v>0</v>
      </c>
      <c r="S250" s="496">
        <v>25</v>
      </c>
      <c r="T250" s="118">
        <v>0</v>
      </c>
      <c r="U250" s="118">
        <v>0</v>
      </c>
    </row>
    <row r="251" spans="1:21" ht="18" customHeight="1" x14ac:dyDescent="0.25">
      <c r="A251" s="47"/>
      <c r="B251" s="95" t="s">
        <v>178</v>
      </c>
      <c r="C251" s="404">
        <f t="shared" si="213"/>
        <v>140</v>
      </c>
      <c r="D251" s="489">
        <v>0</v>
      </c>
      <c r="E251" s="491">
        <v>0</v>
      </c>
      <c r="F251" s="489">
        <v>140</v>
      </c>
      <c r="G251" s="489">
        <v>0</v>
      </c>
      <c r="H251" s="489">
        <v>0</v>
      </c>
      <c r="I251" s="404">
        <f t="shared" si="170"/>
        <v>45.78</v>
      </c>
      <c r="J251" s="118">
        <v>0</v>
      </c>
      <c r="K251" s="118">
        <v>0</v>
      </c>
      <c r="L251" s="494">
        <v>45.78</v>
      </c>
      <c r="M251" s="118">
        <v>0</v>
      </c>
      <c r="N251" s="118">
        <v>0</v>
      </c>
      <c r="O251" s="171"/>
      <c r="P251" s="404">
        <f t="shared" si="172"/>
        <v>45.78</v>
      </c>
      <c r="Q251" s="118">
        <v>0</v>
      </c>
      <c r="R251" s="118">
        <v>0</v>
      </c>
      <c r="S251" s="499">
        <v>45.78</v>
      </c>
      <c r="T251" s="118">
        <v>0</v>
      </c>
      <c r="U251" s="118">
        <v>0</v>
      </c>
    </row>
    <row r="252" spans="1:21" ht="31.5" x14ac:dyDescent="0.25">
      <c r="A252" s="47"/>
      <c r="B252" s="95" t="s">
        <v>1016</v>
      </c>
      <c r="C252" s="404">
        <f t="shared" si="213"/>
        <v>25</v>
      </c>
      <c r="D252" s="489">
        <v>0</v>
      </c>
      <c r="E252" s="491">
        <v>0</v>
      </c>
      <c r="F252" s="489">
        <v>25</v>
      </c>
      <c r="G252" s="489">
        <v>0</v>
      </c>
      <c r="H252" s="489">
        <v>0</v>
      </c>
      <c r="I252" s="488">
        <f t="shared" si="170"/>
        <v>0</v>
      </c>
      <c r="J252" s="491">
        <v>0</v>
      </c>
      <c r="K252" s="491">
        <v>0</v>
      </c>
      <c r="L252" s="494"/>
      <c r="M252" s="491">
        <v>0</v>
      </c>
      <c r="N252" s="491">
        <v>0</v>
      </c>
      <c r="O252" s="171"/>
      <c r="P252" s="404"/>
      <c r="Q252" s="118"/>
      <c r="R252" s="118"/>
      <c r="S252" s="499"/>
      <c r="T252" s="118"/>
      <c r="U252" s="118"/>
    </row>
    <row r="253" spans="1:21" ht="15.75" customHeight="1" x14ac:dyDescent="0.25">
      <c r="A253" s="50"/>
      <c r="B253" s="93" t="s">
        <v>732</v>
      </c>
      <c r="C253" s="404">
        <f t="shared" si="213"/>
        <v>835</v>
      </c>
      <c r="D253" s="489">
        <v>0</v>
      </c>
      <c r="E253" s="501">
        <v>240</v>
      </c>
      <c r="F253" s="432">
        <f>SUM(F254:F261)</f>
        <v>495</v>
      </c>
      <c r="G253" s="134">
        <f>SUM(G254+G258+G265+G268+G270)</f>
        <v>0</v>
      </c>
      <c r="H253" s="134">
        <f>SUM(H254+H258+H265+H268+H270)</f>
        <v>100</v>
      </c>
      <c r="I253" s="404">
        <f t="shared" si="170"/>
        <v>74.180000000000007</v>
      </c>
      <c r="J253" s="118">
        <v>0</v>
      </c>
      <c r="K253" s="501">
        <v>0</v>
      </c>
      <c r="L253" s="493">
        <f>SUM(L254:L260)</f>
        <v>74.180000000000007</v>
      </c>
      <c r="M253" s="118">
        <v>0</v>
      </c>
      <c r="N253" s="118">
        <v>0</v>
      </c>
      <c r="O253" s="171"/>
      <c r="P253" s="404">
        <f t="shared" si="172"/>
        <v>74.180000000000007</v>
      </c>
      <c r="Q253" s="118">
        <v>0</v>
      </c>
      <c r="R253" s="118">
        <v>0</v>
      </c>
      <c r="S253" s="493">
        <f>SUM(S254:S260)</f>
        <v>74.180000000000007</v>
      </c>
      <c r="T253" s="118">
        <v>0</v>
      </c>
      <c r="U253" s="118">
        <v>0</v>
      </c>
    </row>
    <row r="254" spans="1:21" ht="18.75" customHeight="1" x14ac:dyDescent="0.25">
      <c r="A254" s="47"/>
      <c r="B254" s="31" t="s">
        <v>179</v>
      </c>
      <c r="C254" s="404">
        <f t="shared" si="213"/>
        <v>475</v>
      </c>
      <c r="D254" s="489">
        <v>0</v>
      </c>
      <c r="E254" s="491">
        <v>0</v>
      </c>
      <c r="F254" s="433">
        <v>475</v>
      </c>
      <c r="G254" s="489">
        <v>0</v>
      </c>
      <c r="H254" s="489">
        <v>0</v>
      </c>
      <c r="I254" s="404">
        <f t="shared" si="170"/>
        <v>32.860500000000002</v>
      </c>
      <c r="J254" s="118">
        <v>0</v>
      </c>
      <c r="K254" s="118">
        <v>0</v>
      </c>
      <c r="L254" s="494">
        <v>32.860500000000002</v>
      </c>
      <c r="M254" s="118">
        <v>0</v>
      </c>
      <c r="N254" s="118">
        <v>0</v>
      </c>
      <c r="O254" s="171"/>
      <c r="P254" s="404">
        <f t="shared" si="172"/>
        <v>32.860500000000002</v>
      </c>
      <c r="Q254" s="118">
        <v>0</v>
      </c>
      <c r="R254" s="118">
        <v>0</v>
      </c>
      <c r="S254" s="499">
        <v>32.860500000000002</v>
      </c>
      <c r="T254" s="118">
        <v>0</v>
      </c>
      <c r="U254" s="118">
        <v>0</v>
      </c>
    </row>
    <row r="255" spans="1:21" ht="20.25" customHeight="1" x14ac:dyDescent="0.25">
      <c r="A255" s="47"/>
      <c r="B255" s="31" t="s">
        <v>180</v>
      </c>
      <c r="C255" s="404">
        <f t="shared" si="213"/>
        <v>0</v>
      </c>
      <c r="D255" s="489">
        <v>0</v>
      </c>
      <c r="E255" s="491">
        <v>0</v>
      </c>
      <c r="F255" s="491">
        <v>0</v>
      </c>
      <c r="G255" s="489">
        <v>0</v>
      </c>
      <c r="H255" s="489">
        <v>0</v>
      </c>
      <c r="I255" s="404">
        <f t="shared" si="170"/>
        <v>13.1755</v>
      </c>
      <c r="J255" s="118">
        <v>0</v>
      </c>
      <c r="K255" s="118">
        <v>0</v>
      </c>
      <c r="L255" s="494">
        <v>13.1755</v>
      </c>
      <c r="M255" s="118">
        <v>0</v>
      </c>
      <c r="N255" s="118">
        <v>0</v>
      </c>
      <c r="O255" s="171"/>
      <c r="P255" s="404">
        <f t="shared" si="172"/>
        <v>13.1755</v>
      </c>
      <c r="Q255" s="118">
        <v>0</v>
      </c>
      <c r="R255" s="118">
        <v>0</v>
      </c>
      <c r="S255" s="499">
        <v>13.1755</v>
      </c>
      <c r="T255" s="118">
        <v>0</v>
      </c>
      <c r="U255" s="118">
        <v>0</v>
      </c>
    </row>
    <row r="256" spans="1:21" ht="23.25" customHeight="1" x14ac:dyDescent="0.25">
      <c r="A256" s="47"/>
      <c r="B256" s="31" t="s">
        <v>181</v>
      </c>
      <c r="C256" s="404">
        <f t="shared" si="213"/>
        <v>0</v>
      </c>
      <c r="D256" s="489">
        <v>0</v>
      </c>
      <c r="E256" s="491">
        <v>0</v>
      </c>
      <c r="F256" s="491">
        <v>0</v>
      </c>
      <c r="G256" s="489">
        <v>0</v>
      </c>
      <c r="H256" s="489">
        <v>0</v>
      </c>
      <c r="I256" s="404">
        <f t="shared" si="170"/>
        <v>5.48</v>
      </c>
      <c r="J256" s="118">
        <v>0</v>
      </c>
      <c r="K256" s="118">
        <v>0</v>
      </c>
      <c r="L256" s="494">
        <v>5.48</v>
      </c>
      <c r="M256" s="118">
        <v>0</v>
      </c>
      <c r="N256" s="118">
        <v>0</v>
      </c>
      <c r="O256" s="171"/>
      <c r="P256" s="404">
        <f t="shared" si="172"/>
        <v>5.48</v>
      </c>
      <c r="Q256" s="118">
        <v>0</v>
      </c>
      <c r="R256" s="118">
        <v>0</v>
      </c>
      <c r="S256" s="499">
        <v>5.48</v>
      </c>
      <c r="T256" s="118">
        <v>0</v>
      </c>
      <c r="U256" s="118">
        <v>0</v>
      </c>
    </row>
    <row r="257" spans="1:21" ht="31.5" x14ac:dyDescent="0.25">
      <c r="A257" s="47"/>
      <c r="B257" s="31" t="s">
        <v>182</v>
      </c>
      <c r="C257" s="404">
        <f t="shared" si="213"/>
        <v>0</v>
      </c>
      <c r="D257" s="489">
        <v>0</v>
      </c>
      <c r="E257" s="491">
        <v>0</v>
      </c>
      <c r="F257" s="491">
        <v>0</v>
      </c>
      <c r="G257" s="489">
        <v>0</v>
      </c>
      <c r="H257" s="489">
        <v>0</v>
      </c>
      <c r="I257" s="404">
        <f t="shared" si="170"/>
        <v>7.8945999999999996</v>
      </c>
      <c r="J257" s="118">
        <v>0</v>
      </c>
      <c r="K257" s="118">
        <v>0</v>
      </c>
      <c r="L257" s="494">
        <v>7.8945999999999996</v>
      </c>
      <c r="M257" s="118">
        <v>0</v>
      </c>
      <c r="N257" s="118">
        <v>0</v>
      </c>
      <c r="O257" s="171"/>
      <c r="P257" s="404">
        <f t="shared" si="172"/>
        <v>7.8945999999999996</v>
      </c>
      <c r="Q257" s="118">
        <v>0</v>
      </c>
      <c r="R257" s="118">
        <v>0</v>
      </c>
      <c r="S257" s="499">
        <v>7.8945999999999996</v>
      </c>
      <c r="T257" s="118">
        <v>0</v>
      </c>
      <c r="U257" s="118">
        <v>0</v>
      </c>
    </row>
    <row r="258" spans="1:21" ht="20.25" customHeight="1" x14ac:dyDescent="0.25">
      <c r="A258" s="47"/>
      <c r="B258" s="31" t="s">
        <v>183</v>
      </c>
      <c r="C258" s="404">
        <f t="shared" si="213"/>
        <v>100</v>
      </c>
      <c r="D258" s="489">
        <v>0</v>
      </c>
      <c r="E258" s="491">
        <v>0</v>
      </c>
      <c r="F258" s="491">
        <v>0</v>
      </c>
      <c r="G258" s="171"/>
      <c r="H258" s="113">
        <v>100</v>
      </c>
      <c r="I258" s="404">
        <f t="shared" si="170"/>
        <v>3.3834</v>
      </c>
      <c r="J258" s="118">
        <v>0</v>
      </c>
      <c r="K258" s="118">
        <v>0</v>
      </c>
      <c r="L258" s="494">
        <v>3.3834</v>
      </c>
      <c r="M258" s="118">
        <v>0</v>
      </c>
      <c r="N258" s="118">
        <v>0</v>
      </c>
      <c r="O258" s="171"/>
      <c r="P258" s="404">
        <f t="shared" si="172"/>
        <v>3.3834</v>
      </c>
      <c r="Q258" s="118">
        <v>0</v>
      </c>
      <c r="R258" s="118">
        <v>0</v>
      </c>
      <c r="S258" s="499">
        <v>3.3834</v>
      </c>
      <c r="T258" s="118">
        <v>0</v>
      </c>
      <c r="U258" s="118">
        <v>0</v>
      </c>
    </row>
    <row r="259" spans="1:21" x14ac:dyDescent="0.25">
      <c r="A259" s="47"/>
      <c r="B259" s="31" t="s">
        <v>184</v>
      </c>
      <c r="C259" s="404">
        <f t="shared" si="213"/>
        <v>100</v>
      </c>
      <c r="D259" s="489">
        <v>0</v>
      </c>
      <c r="E259" s="491">
        <v>0</v>
      </c>
      <c r="F259" s="491">
        <v>0</v>
      </c>
      <c r="G259" s="171"/>
      <c r="H259" s="171">
        <v>100</v>
      </c>
      <c r="I259" s="404">
        <f t="shared" si="170"/>
        <v>1.3859999999999999</v>
      </c>
      <c r="J259" s="118">
        <v>0</v>
      </c>
      <c r="K259" s="118">
        <v>0</v>
      </c>
      <c r="L259" s="494">
        <v>1.3859999999999999</v>
      </c>
      <c r="M259" s="118">
        <v>0</v>
      </c>
      <c r="N259" s="118">
        <v>0</v>
      </c>
      <c r="O259" s="171"/>
      <c r="P259" s="404">
        <f t="shared" si="172"/>
        <v>1.3859999999999999</v>
      </c>
      <c r="Q259" s="118">
        <v>0</v>
      </c>
      <c r="R259" s="118">
        <v>0</v>
      </c>
      <c r="S259" s="499">
        <v>1.3859999999999999</v>
      </c>
      <c r="T259" s="118">
        <v>0</v>
      </c>
      <c r="U259" s="118">
        <v>0</v>
      </c>
    </row>
    <row r="260" spans="1:21" ht="18.75" customHeight="1" x14ac:dyDescent="0.25">
      <c r="A260" s="47"/>
      <c r="B260" s="31" t="s">
        <v>185</v>
      </c>
      <c r="C260" s="404">
        <f t="shared" si="213"/>
        <v>0</v>
      </c>
      <c r="D260" s="489">
        <v>0</v>
      </c>
      <c r="E260" s="491">
        <v>0</v>
      </c>
      <c r="F260" s="491">
        <v>0</v>
      </c>
      <c r="G260" s="113">
        <v>0</v>
      </c>
      <c r="H260" s="113">
        <v>0</v>
      </c>
      <c r="I260" s="404">
        <f t="shared" si="170"/>
        <v>10</v>
      </c>
      <c r="J260" s="118">
        <v>0</v>
      </c>
      <c r="K260" s="118">
        <v>0</v>
      </c>
      <c r="L260" s="494">
        <v>10</v>
      </c>
      <c r="M260" s="118">
        <v>0</v>
      </c>
      <c r="N260" s="118">
        <v>0</v>
      </c>
      <c r="O260" s="171"/>
      <c r="P260" s="404">
        <f t="shared" si="172"/>
        <v>10</v>
      </c>
      <c r="Q260" s="118">
        <v>0</v>
      </c>
      <c r="R260" s="118">
        <v>0</v>
      </c>
      <c r="S260" s="499">
        <v>10</v>
      </c>
      <c r="T260" s="118">
        <v>0</v>
      </c>
      <c r="U260" s="118">
        <v>0</v>
      </c>
    </row>
    <row r="261" spans="1:21" x14ac:dyDescent="0.25">
      <c r="A261" s="47"/>
      <c r="B261" s="31" t="s">
        <v>1017</v>
      </c>
      <c r="C261" s="404">
        <f t="shared" si="213"/>
        <v>20</v>
      </c>
      <c r="D261" s="489"/>
      <c r="E261" s="491">
        <v>0</v>
      </c>
      <c r="F261" s="433">
        <v>20</v>
      </c>
      <c r="G261" s="113"/>
      <c r="H261" s="113"/>
      <c r="I261" s="488">
        <f t="shared" si="170"/>
        <v>0</v>
      </c>
      <c r="J261" s="491">
        <v>0</v>
      </c>
      <c r="K261" s="491">
        <v>0</v>
      </c>
      <c r="L261" s="494"/>
      <c r="M261" s="491">
        <v>0</v>
      </c>
      <c r="N261" s="491">
        <v>0</v>
      </c>
      <c r="O261" s="171"/>
      <c r="P261" s="404"/>
      <c r="Q261" s="118"/>
      <c r="R261" s="118"/>
      <c r="S261" s="499"/>
      <c r="T261" s="118"/>
      <c r="U261" s="118"/>
    </row>
    <row r="262" spans="1:21" ht="18" customHeight="1" x14ac:dyDescent="0.25">
      <c r="A262" s="48"/>
      <c r="B262" s="93" t="s">
        <v>733</v>
      </c>
      <c r="C262" s="404">
        <f t="shared" si="213"/>
        <v>100</v>
      </c>
      <c r="D262" s="489">
        <v>0</v>
      </c>
      <c r="E262" s="491">
        <v>0</v>
      </c>
      <c r="F262" s="432">
        <v>100</v>
      </c>
      <c r="G262" s="489">
        <v>0</v>
      </c>
      <c r="H262" s="489">
        <v>0</v>
      </c>
      <c r="I262" s="404">
        <f t="shared" si="170"/>
        <v>0</v>
      </c>
      <c r="J262" s="491">
        <v>0</v>
      </c>
      <c r="K262" s="491">
        <v>0</v>
      </c>
      <c r="L262" s="493">
        <v>0</v>
      </c>
      <c r="M262" s="118">
        <v>0</v>
      </c>
      <c r="N262" s="118">
        <v>0</v>
      </c>
      <c r="O262" s="171"/>
      <c r="P262" s="404">
        <f t="shared" si="172"/>
        <v>0</v>
      </c>
      <c r="Q262" s="118">
        <v>0</v>
      </c>
      <c r="R262" s="171"/>
      <c r="S262" s="500">
        <v>0</v>
      </c>
      <c r="T262" s="118">
        <v>0</v>
      </c>
      <c r="U262" s="118">
        <v>0</v>
      </c>
    </row>
    <row r="263" spans="1:21" ht="18" customHeight="1" x14ac:dyDescent="0.25">
      <c r="A263" s="48"/>
      <c r="B263" s="93" t="s">
        <v>772</v>
      </c>
      <c r="C263" s="404">
        <f t="shared" si="213"/>
        <v>50</v>
      </c>
      <c r="D263" s="489">
        <v>0</v>
      </c>
      <c r="E263" s="491">
        <v>0</v>
      </c>
      <c r="F263" s="432">
        <v>50</v>
      </c>
      <c r="G263" s="489">
        <v>0</v>
      </c>
      <c r="H263" s="489">
        <v>0</v>
      </c>
      <c r="I263" s="404">
        <f t="shared" si="170"/>
        <v>0</v>
      </c>
      <c r="J263" s="491">
        <v>0</v>
      </c>
      <c r="K263" s="491">
        <v>0</v>
      </c>
      <c r="L263" s="493">
        <v>0</v>
      </c>
      <c r="M263" s="118">
        <v>0</v>
      </c>
      <c r="N263" s="118">
        <v>0</v>
      </c>
      <c r="O263" s="171"/>
      <c r="P263" s="404">
        <f t="shared" si="172"/>
        <v>0</v>
      </c>
      <c r="Q263" s="118">
        <v>0</v>
      </c>
      <c r="R263" s="171"/>
      <c r="S263" s="500">
        <v>0</v>
      </c>
      <c r="T263" s="118">
        <v>0</v>
      </c>
      <c r="U263" s="118">
        <v>0</v>
      </c>
    </row>
    <row r="264" spans="1:21" ht="18.75" customHeight="1" x14ac:dyDescent="0.25">
      <c r="A264" s="49"/>
      <c r="B264" s="92" t="s">
        <v>734</v>
      </c>
      <c r="C264" s="404">
        <f t="shared" si="213"/>
        <v>510</v>
      </c>
      <c r="D264" s="489">
        <v>0</v>
      </c>
      <c r="E264" s="490">
        <v>410</v>
      </c>
      <c r="F264" s="432">
        <v>100</v>
      </c>
      <c r="G264" s="489">
        <v>0</v>
      </c>
      <c r="H264" s="489">
        <v>0</v>
      </c>
      <c r="I264" s="404">
        <f t="shared" si="170"/>
        <v>715.67900000000009</v>
      </c>
      <c r="J264" s="118">
        <v>0</v>
      </c>
      <c r="K264" s="493">
        <f>SUM(K265:K278)</f>
        <v>341.19900000000001</v>
      </c>
      <c r="L264" s="493">
        <f>SUM(L265:L277)</f>
        <v>374.48</v>
      </c>
      <c r="M264" s="118">
        <v>0</v>
      </c>
      <c r="N264" s="118">
        <v>0</v>
      </c>
      <c r="O264" s="171"/>
      <c r="P264" s="404">
        <f t="shared" si="172"/>
        <v>715.53899999999999</v>
      </c>
      <c r="Q264" s="118">
        <v>0</v>
      </c>
      <c r="R264" s="113">
        <f>SUM(R265:R278)</f>
        <v>341.19900000000001</v>
      </c>
      <c r="S264" s="493">
        <f>SUM(S265:S277)</f>
        <v>374.34</v>
      </c>
      <c r="T264" s="118">
        <v>0</v>
      </c>
      <c r="U264" s="118">
        <v>0</v>
      </c>
    </row>
    <row r="265" spans="1:21" ht="48" customHeight="1" x14ac:dyDescent="0.25">
      <c r="A265" s="47"/>
      <c r="B265" s="31" t="s">
        <v>186</v>
      </c>
      <c r="C265" s="404">
        <f t="shared" si="213"/>
        <v>0</v>
      </c>
      <c r="D265" s="489">
        <v>0</v>
      </c>
      <c r="E265" s="491">
        <v>0</v>
      </c>
      <c r="F265" s="491">
        <v>0</v>
      </c>
      <c r="G265" s="489">
        <v>0</v>
      </c>
      <c r="H265" s="489">
        <v>0</v>
      </c>
      <c r="I265" s="404">
        <f t="shared" ref="I265:I329" si="215">SUM(J265:N265)</f>
        <v>200</v>
      </c>
      <c r="J265" s="118">
        <v>0</v>
      </c>
      <c r="K265" s="489">
        <v>150</v>
      </c>
      <c r="L265" s="494">
        <v>50</v>
      </c>
      <c r="M265" s="118">
        <v>0</v>
      </c>
      <c r="N265" s="118">
        <v>0</v>
      </c>
      <c r="O265" s="171"/>
      <c r="P265" s="404">
        <f t="shared" ref="P265:P286" si="216">SUM(Q265:U265)</f>
        <v>200</v>
      </c>
      <c r="Q265" s="118">
        <v>0</v>
      </c>
      <c r="R265" s="171">
        <v>150</v>
      </c>
      <c r="S265" s="494">
        <v>50</v>
      </c>
      <c r="T265" s="118">
        <v>0</v>
      </c>
      <c r="U265" s="118">
        <v>0</v>
      </c>
    </row>
    <row r="266" spans="1:21" ht="31.5" x14ac:dyDescent="0.25">
      <c r="A266" s="47"/>
      <c r="B266" s="31" t="s">
        <v>187</v>
      </c>
      <c r="C266" s="404">
        <f t="shared" si="213"/>
        <v>0</v>
      </c>
      <c r="D266" s="489">
        <v>0</v>
      </c>
      <c r="E266" s="491">
        <v>0</v>
      </c>
      <c r="F266" s="491">
        <v>0</v>
      </c>
      <c r="G266" s="489">
        <v>0</v>
      </c>
      <c r="H266" s="489">
        <v>0</v>
      </c>
      <c r="I266" s="404">
        <f t="shared" si="215"/>
        <v>32.725000000000001</v>
      </c>
      <c r="J266" s="118">
        <v>0</v>
      </c>
      <c r="K266" s="491">
        <v>0</v>
      </c>
      <c r="L266" s="494">
        <v>32.725000000000001</v>
      </c>
      <c r="M266" s="118">
        <v>0</v>
      </c>
      <c r="N266" s="118">
        <v>0</v>
      </c>
      <c r="O266" s="171"/>
      <c r="P266" s="404">
        <f t="shared" si="216"/>
        <v>32.725000000000001</v>
      </c>
      <c r="Q266" s="118">
        <v>0</v>
      </c>
      <c r="R266" s="118">
        <v>0</v>
      </c>
      <c r="S266" s="494">
        <v>32.725000000000001</v>
      </c>
      <c r="T266" s="118">
        <v>0</v>
      </c>
      <c r="U266" s="118">
        <v>0</v>
      </c>
    </row>
    <row r="267" spans="1:21" ht="16.5" customHeight="1" x14ac:dyDescent="0.25">
      <c r="A267" s="47"/>
      <c r="B267" s="31" t="s">
        <v>188</v>
      </c>
      <c r="C267" s="404">
        <f t="shared" si="213"/>
        <v>0</v>
      </c>
      <c r="D267" s="489">
        <v>0</v>
      </c>
      <c r="E267" s="491">
        <v>0</v>
      </c>
      <c r="F267" s="491">
        <v>0</v>
      </c>
      <c r="G267" s="489">
        <v>0</v>
      </c>
      <c r="H267" s="489">
        <v>0</v>
      </c>
      <c r="I267" s="404">
        <f t="shared" si="215"/>
        <v>10</v>
      </c>
      <c r="J267" s="118">
        <v>0</v>
      </c>
      <c r="K267" s="491">
        <v>0</v>
      </c>
      <c r="L267" s="494">
        <v>10</v>
      </c>
      <c r="M267" s="118">
        <v>0</v>
      </c>
      <c r="N267" s="118">
        <v>0</v>
      </c>
      <c r="O267" s="171"/>
      <c r="P267" s="404">
        <f t="shared" si="216"/>
        <v>10</v>
      </c>
      <c r="Q267" s="118">
        <v>0</v>
      </c>
      <c r="R267" s="118">
        <v>0</v>
      </c>
      <c r="S267" s="494">
        <v>10</v>
      </c>
      <c r="T267" s="118">
        <v>0</v>
      </c>
      <c r="U267" s="118">
        <v>0</v>
      </c>
    </row>
    <row r="268" spans="1:21" x14ac:dyDescent="0.25">
      <c r="A268" s="47"/>
      <c r="B268" s="31" t="s">
        <v>189</v>
      </c>
      <c r="C268" s="404">
        <f t="shared" si="213"/>
        <v>0</v>
      </c>
      <c r="D268" s="489">
        <v>0</v>
      </c>
      <c r="E268" s="491">
        <v>0</v>
      </c>
      <c r="F268" s="491">
        <v>0</v>
      </c>
      <c r="G268" s="489">
        <v>0</v>
      </c>
      <c r="H268" s="489">
        <v>0</v>
      </c>
      <c r="I268" s="404">
        <f t="shared" si="215"/>
        <v>10</v>
      </c>
      <c r="J268" s="118">
        <v>0</v>
      </c>
      <c r="K268" s="491">
        <v>0</v>
      </c>
      <c r="L268" s="494">
        <v>10</v>
      </c>
      <c r="M268" s="118">
        <v>0</v>
      </c>
      <c r="N268" s="118">
        <v>0</v>
      </c>
      <c r="O268" s="171"/>
      <c r="P268" s="404">
        <f t="shared" si="216"/>
        <v>10</v>
      </c>
      <c r="Q268" s="118">
        <v>0</v>
      </c>
      <c r="R268" s="118">
        <v>0</v>
      </c>
      <c r="S268" s="494">
        <v>10</v>
      </c>
      <c r="T268" s="118">
        <v>0</v>
      </c>
      <c r="U268" s="118">
        <v>0</v>
      </c>
    </row>
    <row r="269" spans="1:21" ht="31.5" x14ac:dyDescent="0.25">
      <c r="A269" s="47"/>
      <c r="B269" s="31" t="s">
        <v>190</v>
      </c>
      <c r="C269" s="404">
        <f t="shared" si="213"/>
        <v>0</v>
      </c>
      <c r="D269" s="489">
        <v>0</v>
      </c>
      <c r="E269" s="491">
        <v>0</v>
      </c>
      <c r="F269" s="491">
        <v>0</v>
      </c>
      <c r="G269" s="489">
        <v>0</v>
      </c>
      <c r="H269" s="489">
        <v>0</v>
      </c>
      <c r="I269" s="404">
        <f t="shared" si="215"/>
        <v>20</v>
      </c>
      <c r="J269" s="118">
        <v>0</v>
      </c>
      <c r="K269" s="491">
        <v>0</v>
      </c>
      <c r="L269" s="494">
        <v>20</v>
      </c>
      <c r="M269" s="118">
        <v>0</v>
      </c>
      <c r="N269" s="118">
        <v>0</v>
      </c>
      <c r="O269" s="171"/>
      <c r="P269" s="404">
        <f t="shared" si="216"/>
        <v>20</v>
      </c>
      <c r="Q269" s="118">
        <v>0</v>
      </c>
      <c r="R269" s="118">
        <v>0</v>
      </c>
      <c r="S269" s="494">
        <v>20</v>
      </c>
      <c r="T269" s="118">
        <v>0</v>
      </c>
      <c r="U269" s="118">
        <v>0</v>
      </c>
    </row>
    <row r="270" spans="1:21" ht="37.5" customHeight="1" x14ac:dyDescent="0.25">
      <c r="A270" s="47"/>
      <c r="B270" s="31" t="s">
        <v>191</v>
      </c>
      <c r="C270" s="404">
        <f t="shared" si="213"/>
        <v>0</v>
      </c>
      <c r="D270" s="489">
        <v>0</v>
      </c>
      <c r="E270" s="491">
        <v>0</v>
      </c>
      <c r="F270" s="491">
        <v>0</v>
      </c>
      <c r="G270" s="489">
        <v>0</v>
      </c>
      <c r="H270" s="489">
        <v>0</v>
      </c>
      <c r="I270" s="404">
        <f t="shared" si="215"/>
        <v>21.19</v>
      </c>
      <c r="J270" s="118">
        <v>0</v>
      </c>
      <c r="K270" s="491">
        <v>0</v>
      </c>
      <c r="L270" s="494">
        <v>21.19</v>
      </c>
      <c r="M270" s="118">
        <v>0</v>
      </c>
      <c r="N270" s="118">
        <v>0</v>
      </c>
      <c r="O270" s="171"/>
      <c r="P270" s="404">
        <f t="shared" si="216"/>
        <v>21.19</v>
      </c>
      <c r="Q270" s="118">
        <v>0</v>
      </c>
      <c r="R270" s="118">
        <v>0</v>
      </c>
      <c r="S270" s="494">
        <v>21.19</v>
      </c>
      <c r="T270" s="118">
        <v>0</v>
      </c>
      <c r="U270" s="118">
        <v>0</v>
      </c>
    </row>
    <row r="271" spans="1:21" ht="47.25" x14ac:dyDescent="0.25">
      <c r="A271" s="47"/>
      <c r="B271" s="31" t="s">
        <v>192</v>
      </c>
      <c r="C271" s="404">
        <f t="shared" si="213"/>
        <v>0</v>
      </c>
      <c r="D271" s="489">
        <v>0</v>
      </c>
      <c r="E271" s="491">
        <v>0</v>
      </c>
      <c r="F271" s="491">
        <v>0</v>
      </c>
      <c r="G271" s="489">
        <v>0</v>
      </c>
      <c r="H271" s="489">
        <v>0</v>
      </c>
      <c r="I271" s="404">
        <f t="shared" si="215"/>
        <v>50</v>
      </c>
      <c r="J271" s="118">
        <v>0</v>
      </c>
      <c r="K271" s="491">
        <v>0</v>
      </c>
      <c r="L271" s="494">
        <v>50</v>
      </c>
      <c r="M271" s="118">
        <v>0</v>
      </c>
      <c r="N271" s="118">
        <v>0</v>
      </c>
      <c r="O271" s="171"/>
      <c r="P271" s="404">
        <f t="shared" si="216"/>
        <v>50</v>
      </c>
      <c r="Q271" s="118">
        <v>0</v>
      </c>
      <c r="R271" s="118">
        <v>0</v>
      </c>
      <c r="S271" s="494">
        <v>50</v>
      </c>
      <c r="T271" s="118">
        <v>0</v>
      </c>
      <c r="U271" s="118">
        <v>0</v>
      </c>
    </row>
    <row r="272" spans="1:21" ht="31.5" x14ac:dyDescent="0.25">
      <c r="A272" s="47"/>
      <c r="B272" s="31" t="s">
        <v>193</v>
      </c>
      <c r="C272" s="404">
        <f t="shared" si="213"/>
        <v>0</v>
      </c>
      <c r="D272" s="489">
        <v>0</v>
      </c>
      <c r="E272" s="491">
        <v>0</v>
      </c>
      <c r="F272" s="491">
        <v>0</v>
      </c>
      <c r="G272" s="489">
        <v>0</v>
      </c>
      <c r="H272" s="489">
        <v>0</v>
      </c>
      <c r="I272" s="404">
        <f t="shared" si="215"/>
        <v>15</v>
      </c>
      <c r="J272" s="118">
        <v>0</v>
      </c>
      <c r="K272" s="491">
        <v>0</v>
      </c>
      <c r="L272" s="494">
        <v>15</v>
      </c>
      <c r="M272" s="118">
        <v>0</v>
      </c>
      <c r="N272" s="118">
        <v>0</v>
      </c>
      <c r="O272" s="171"/>
      <c r="P272" s="404">
        <f t="shared" si="216"/>
        <v>14.86</v>
      </c>
      <c r="Q272" s="118">
        <v>0</v>
      </c>
      <c r="R272" s="118">
        <v>0</v>
      </c>
      <c r="S272" s="494">
        <v>14.86</v>
      </c>
      <c r="T272" s="118">
        <v>0</v>
      </c>
      <c r="U272" s="118">
        <v>0</v>
      </c>
    </row>
    <row r="273" spans="1:22" ht="36.75" customHeight="1" x14ac:dyDescent="0.25">
      <c r="A273" s="47"/>
      <c r="B273" s="94" t="s">
        <v>194</v>
      </c>
      <c r="C273" s="404">
        <f t="shared" si="213"/>
        <v>0</v>
      </c>
      <c r="D273" s="489">
        <v>0</v>
      </c>
      <c r="E273" s="491">
        <v>0</v>
      </c>
      <c r="F273" s="491">
        <v>0</v>
      </c>
      <c r="G273" s="489">
        <v>0</v>
      </c>
      <c r="H273" s="489">
        <v>0</v>
      </c>
      <c r="I273" s="404">
        <f t="shared" si="215"/>
        <v>19.79</v>
      </c>
      <c r="J273" s="118">
        <v>0</v>
      </c>
      <c r="K273" s="491">
        <v>0</v>
      </c>
      <c r="L273" s="494">
        <v>19.79</v>
      </c>
      <c r="M273" s="118">
        <v>0</v>
      </c>
      <c r="N273" s="118">
        <v>0</v>
      </c>
      <c r="O273" s="171"/>
      <c r="P273" s="404">
        <f t="shared" si="216"/>
        <v>19.79</v>
      </c>
      <c r="Q273" s="118">
        <v>0</v>
      </c>
      <c r="R273" s="118">
        <v>0</v>
      </c>
      <c r="S273" s="494">
        <v>19.79</v>
      </c>
      <c r="T273" s="118">
        <v>0</v>
      </c>
      <c r="U273" s="118">
        <v>0</v>
      </c>
    </row>
    <row r="274" spans="1:22" ht="20.25" customHeight="1" x14ac:dyDescent="0.25">
      <c r="A274" s="47"/>
      <c r="B274" s="94" t="s">
        <v>1058</v>
      </c>
      <c r="C274" s="404"/>
      <c r="D274" s="489"/>
      <c r="E274" s="491">
        <v>0</v>
      </c>
      <c r="F274" s="491">
        <v>0</v>
      </c>
      <c r="G274" s="489"/>
      <c r="H274" s="489"/>
      <c r="I274" s="404">
        <f t="shared" si="215"/>
        <v>5</v>
      </c>
      <c r="J274" s="118"/>
      <c r="K274" s="491">
        <v>0</v>
      </c>
      <c r="L274" s="494">
        <v>5</v>
      </c>
      <c r="M274" s="118"/>
      <c r="N274" s="118"/>
      <c r="O274" s="171"/>
      <c r="P274" s="404">
        <f t="shared" si="216"/>
        <v>5</v>
      </c>
      <c r="Q274" s="118"/>
      <c r="R274" s="118"/>
      <c r="S274" s="494">
        <v>5</v>
      </c>
      <c r="T274" s="118"/>
      <c r="U274" s="118"/>
    </row>
    <row r="275" spans="1:22" x14ac:dyDescent="0.25">
      <c r="A275" s="47"/>
      <c r="B275" s="91" t="s">
        <v>195</v>
      </c>
      <c r="C275" s="404">
        <f t="shared" si="213"/>
        <v>0</v>
      </c>
      <c r="D275" s="489">
        <v>0</v>
      </c>
      <c r="E275" s="491">
        <v>0</v>
      </c>
      <c r="F275" s="491">
        <v>0</v>
      </c>
      <c r="G275" s="489">
        <v>0</v>
      </c>
      <c r="H275" s="489">
        <v>0</v>
      </c>
      <c r="I275" s="404">
        <f t="shared" si="215"/>
        <v>6.9649999999999999</v>
      </c>
      <c r="J275" s="118">
        <v>0</v>
      </c>
      <c r="K275" s="491">
        <v>0</v>
      </c>
      <c r="L275" s="494">
        <v>6.9649999999999999</v>
      </c>
      <c r="M275" s="118">
        <v>0</v>
      </c>
      <c r="N275" s="118">
        <v>0</v>
      </c>
      <c r="O275" s="171"/>
      <c r="P275" s="404">
        <f t="shared" si="216"/>
        <v>6.9649999999999999</v>
      </c>
      <c r="Q275" s="118">
        <v>0</v>
      </c>
      <c r="R275" s="118">
        <v>0</v>
      </c>
      <c r="S275" s="494">
        <v>6.9649999999999999</v>
      </c>
      <c r="T275" s="118">
        <v>0</v>
      </c>
      <c r="U275" s="118">
        <v>0</v>
      </c>
    </row>
    <row r="276" spans="1:22" x14ac:dyDescent="0.25">
      <c r="A276" s="47"/>
      <c r="B276" s="91" t="s">
        <v>1059</v>
      </c>
      <c r="C276" s="404"/>
      <c r="D276" s="489"/>
      <c r="E276" s="491">
        <v>0</v>
      </c>
      <c r="F276" s="491">
        <v>0</v>
      </c>
      <c r="G276" s="489"/>
      <c r="H276" s="489"/>
      <c r="I276" s="404">
        <f t="shared" si="215"/>
        <v>33.81</v>
      </c>
      <c r="J276" s="118"/>
      <c r="K276" s="491">
        <v>0</v>
      </c>
      <c r="L276" s="494">
        <v>33.81</v>
      </c>
      <c r="M276" s="118"/>
      <c r="N276" s="118"/>
      <c r="O276" s="171"/>
      <c r="P276" s="404">
        <f t="shared" si="216"/>
        <v>33.81</v>
      </c>
      <c r="Q276" s="118"/>
      <c r="R276" s="118"/>
      <c r="S276" s="494">
        <v>33.81</v>
      </c>
      <c r="T276" s="118"/>
      <c r="U276" s="118"/>
    </row>
    <row r="277" spans="1:22" ht="54.75" customHeight="1" x14ac:dyDescent="0.25">
      <c r="A277" s="47"/>
      <c r="B277" s="31" t="s">
        <v>196</v>
      </c>
      <c r="C277" s="404">
        <f t="shared" si="213"/>
        <v>0</v>
      </c>
      <c r="D277" s="489">
        <v>0</v>
      </c>
      <c r="E277" s="491">
        <v>0</v>
      </c>
      <c r="F277" s="491">
        <v>0</v>
      </c>
      <c r="G277" s="489">
        <v>0</v>
      </c>
      <c r="H277" s="489">
        <v>0</v>
      </c>
      <c r="I277" s="404">
        <f t="shared" si="215"/>
        <v>200</v>
      </c>
      <c r="J277" s="118">
        <v>0</v>
      </c>
      <c r="K277" s="489">
        <v>100</v>
      </c>
      <c r="L277" s="494">
        <v>100</v>
      </c>
      <c r="M277" s="118">
        <v>0</v>
      </c>
      <c r="N277" s="118">
        <v>0</v>
      </c>
      <c r="O277" s="171"/>
      <c r="P277" s="404">
        <f t="shared" si="216"/>
        <v>200</v>
      </c>
      <c r="Q277" s="118">
        <v>0</v>
      </c>
      <c r="R277" s="171">
        <v>100</v>
      </c>
      <c r="S277" s="499">
        <v>100</v>
      </c>
      <c r="T277" s="118">
        <v>0</v>
      </c>
      <c r="U277" s="118">
        <v>0</v>
      </c>
    </row>
    <row r="278" spans="1:22" ht="33" customHeight="1" x14ac:dyDescent="0.25">
      <c r="A278" s="47"/>
      <c r="B278" s="28" t="s">
        <v>787</v>
      </c>
      <c r="C278" s="404">
        <f t="shared" si="213"/>
        <v>0</v>
      </c>
      <c r="D278" s="489">
        <v>0</v>
      </c>
      <c r="E278" s="491">
        <v>0</v>
      </c>
      <c r="F278" s="491">
        <v>0</v>
      </c>
      <c r="G278" s="489">
        <v>0</v>
      </c>
      <c r="H278" s="489">
        <v>0</v>
      </c>
      <c r="I278" s="404">
        <f t="shared" si="215"/>
        <v>91.198999999999998</v>
      </c>
      <c r="J278" s="118">
        <v>0</v>
      </c>
      <c r="K278" s="489">
        <v>91.198999999999998</v>
      </c>
      <c r="L278" s="494">
        <v>0</v>
      </c>
      <c r="M278" s="118">
        <v>0</v>
      </c>
      <c r="N278" s="118">
        <v>0</v>
      </c>
      <c r="O278" s="171"/>
      <c r="P278" s="404">
        <f t="shared" si="216"/>
        <v>91.198999999999998</v>
      </c>
      <c r="Q278" s="118">
        <v>0</v>
      </c>
      <c r="R278" s="171">
        <v>91.198999999999998</v>
      </c>
      <c r="S278" s="491">
        <v>0</v>
      </c>
      <c r="T278" s="118">
        <v>0</v>
      </c>
      <c r="U278" s="118">
        <v>0</v>
      </c>
    </row>
    <row r="279" spans="1:22" ht="18.75" customHeight="1" x14ac:dyDescent="0.25">
      <c r="A279" s="49"/>
      <c r="B279" s="92" t="s">
        <v>735</v>
      </c>
      <c r="C279" s="404">
        <f t="shared" si="213"/>
        <v>25</v>
      </c>
      <c r="D279" s="489">
        <v>0</v>
      </c>
      <c r="E279" s="491">
        <v>0</v>
      </c>
      <c r="F279" s="432">
        <v>25</v>
      </c>
      <c r="G279" s="489">
        <v>0</v>
      </c>
      <c r="H279" s="489">
        <v>0</v>
      </c>
      <c r="I279" s="404">
        <f t="shared" si="215"/>
        <v>22.56</v>
      </c>
      <c r="J279" s="118">
        <v>0</v>
      </c>
      <c r="K279" s="118">
        <v>0</v>
      </c>
      <c r="L279" s="493">
        <v>22.56</v>
      </c>
      <c r="M279" s="118">
        <v>0</v>
      </c>
      <c r="N279" s="118">
        <v>0</v>
      </c>
      <c r="O279" s="171"/>
      <c r="P279" s="404">
        <f t="shared" si="216"/>
        <v>22.56</v>
      </c>
      <c r="Q279" s="118">
        <v>0</v>
      </c>
      <c r="R279" s="118">
        <v>0</v>
      </c>
      <c r="S279" s="162">
        <v>22.56</v>
      </c>
      <c r="T279" s="118">
        <v>0</v>
      </c>
      <c r="U279" s="118">
        <v>0</v>
      </c>
    </row>
    <row r="280" spans="1:22" ht="32.25" customHeight="1" x14ac:dyDescent="0.25">
      <c r="A280" s="48"/>
      <c r="B280" s="93" t="s">
        <v>773</v>
      </c>
      <c r="C280" s="404">
        <f t="shared" si="213"/>
        <v>25</v>
      </c>
      <c r="D280" s="489">
        <v>0</v>
      </c>
      <c r="E280" s="491">
        <v>0</v>
      </c>
      <c r="F280" s="432">
        <v>25</v>
      </c>
      <c r="G280" s="489">
        <v>0</v>
      </c>
      <c r="H280" s="489">
        <v>0</v>
      </c>
      <c r="I280" s="404">
        <f t="shared" si="215"/>
        <v>22.56</v>
      </c>
      <c r="J280" s="118">
        <v>0</v>
      </c>
      <c r="K280" s="118">
        <v>0</v>
      </c>
      <c r="L280" s="493">
        <v>22.56</v>
      </c>
      <c r="M280" s="118">
        <v>0</v>
      </c>
      <c r="N280" s="118">
        <v>0</v>
      </c>
      <c r="O280" s="171"/>
      <c r="P280" s="404">
        <f t="shared" si="216"/>
        <v>22.56</v>
      </c>
      <c r="Q280" s="118">
        <v>0</v>
      </c>
      <c r="R280" s="118">
        <v>0</v>
      </c>
      <c r="S280" s="162">
        <v>22.56</v>
      </c>
      <c r="T280" s="118">
        <v>0</v>
      </c>
      <c r="U280" s="118">
        <v>0</v>
      </c>
    </row>
    <row r="281" spans="1:22" ht="31.5" x14ac:dyDescent="0.25">
      <c r="A281" s="47"/>
      <c r="B281" s="31" t="s">
        <v>197</v>
      </c>
      <c r="C281" s="404">
        <f t="shared" si="213"/>
        <v>0</v>
      </c>
      <c r="D281" s="489">
        <v>0</v>
      </c>
      <c r="E281" s="491">
        <v>0</v>
      </c>
      <c r="F281" s="433">
        <v>0</v>
      </c>
      <c r="G281" s="489">
        <v>0</v>
      </c>
      <c r="H281" s="489">
        <v>0</v>
      </c>
      <c r="I281" s="404">
        <f t="shared" si="215"/>
        <v>10</v>
      </c>
      <c r="J281" s="118">
        <v>0</v>
      </c>
      <c r="K281" s="118">
        <v>0</v>
      </c>
      <c r="L281" s="494">
        <v>10</v>
      </c>
      <c r="M281" s="118">
        <v>0</v>
      </c>
      <c r="N281" s="118">
        <v>0</v>
      </c>
      <c r="O281" s="171"/>
      <c r="P281" s="404">
        <f t="shared" si="216"/>
        <v>10</v>
      </c>
      <c r="Q281" s="118">
        <v>0</v>
      </c>
      <c r="R281" s="118">
        <v>0</v>
      </c>
      <c r="S281" s="163">
        <v>10</v>
      </c>
      <c r="T281" s="118">
        <v>0</v>
      </c>
      <c r="U281" s="118">
        <v>0</v>
      </c>
    </row>
    <row r="282" spans="1:22" ht="19.5" customHeight="1" x14ac:dyDescent="0.25">
      <c r="A282" s="29"/>
      <c r="B282" s="96" t="s">
        <v>198</v>
      </c>
      <c r="C282" s="404">
        <f t="shared" si="213"/>
        <v>0</v>
      </c>
      <c r="D282" s="489">
        <v>0</v>
      </c>
      <c r="E282" s="491">
        <v>0</v>
      </c>
      <c r="F282" s="434">
        <v>0</v>
      </c>
      <c r="G282" s="489">
        <v>0</v>
      </c>
      <c r="H282" s="489">
        <v>0</v>
      </c>
      <c r="I282" s="404">
        <f t="shared" si="215"/>
        <v>12.56</v>
      </c>
      <c r="J282" s="118">
        <v>0</v>
      </c>
      <c r="K282" s="118">
        <v>0</v>
      </c>
      <c r="L282" s="502">
        <v>12.56</v>
      </c>
      <c r="M282" s="118">
        <v>0</v>
      </c>
      <c r="N282" s="118">
        <v>0</v>
      </c>
      <c r="O282" s="171"/>
      <c r="P282" s="404">
        <f t="shared" si="216"/>
        <v>12.56</v>
      </c>
      <c r="Q282" s="171">
        <v>0</v>
      </c>
      <c r="R282" s="118">
        <v>0</v>
      </c>
      <c r="S282" s="228">
        <v>12.56</v>
      </c>
      <c r="T282" s="118">
        <v>0</v>
      </c>
      <c r="U282" s="118">
        <v>0</v>
      </c>
    </row>
    <row r="283" spans="1:22" ht="31.5" x14ac:dyDescent="0.25">
      <c r="A283" s="52">
        <v>16</v>
      </c>
      <c r="B283" s="42" t="s">
        <v>199</v>
      </c>
      <c r="C283" s="173">
        <f>SUM(C284+C285)</f>
        <v>820</v>
      </c>
      <c r="D283" s="172">
        <v>0</v>
      </c>
      <c r="E283" s="172">
        <v>0</v>
      </c>
      <c r="F283" s="173">
        <f>SUM(F284+F285)</f>
        <v>820</v>
      </c>
      <c r="G283" s="172">
        <v>0</v>
      </c>
      <c r="H283" s="172">
        <v>0</v>
      </c>
      <c r="I283" s="404">
        <f t="shared" si="215"/>
        <v>260</v>
      </c>
      <c r="J283" s="173">
        <f>SUM(J284+J285)</f>
        <v>0</v>
      </c>
      <c r="K283" s="173">
        <f>SUM(K284+K285)</f>
        <v>0</v>
      </c>
      <c r="L283" s="173">
        <f>SUM(L284+L285)</f>
        <v>260</v>
      </c>
      <c r="M283" s="173">
        <f>SUM(M284+M285)</f>
        <v>0</v>
      </c>
      <c r="N283" s="173">
        <f>SUM(N284+N285)</f>
        <v>0</v>
      </c>
      <c r="O283" s="172"/>
      <c r="P283" s="404">
        <f t="shared" si="216"/>
        <v>260</v>
      </c>
      <c r="Q283" s="173">
        <f>SUM(Q284+Q285)</f>
        <v>0</v>
      </c>
      <c r="R283" s="173">
        <f>SUM(R284+R285)</f>
        <v>0</v>
      </c>
      <c r="S283" s="173">
        <f>SUM(S284+S285)</f>
        <v>260</v>
      </c>
      <c r="T283" s="173">
        <f>SUM(T284+T285)</f>
        <v>0</v>
      </c>
      <c r="U283" s="173">
        <f>SUM(U284+U285)</f>
        <v>0</v>
      </c>
      <c r="V283" s="174"/>
    </row>
    <row r="284" spans="1:22" ht="31.5" x14ac:dyDescent="0.25">
      <c r="A284" s="469"/>
      <c r="B284" s="79" t="s">
        <v>200</v>
      </c>
      <c r="C284" s="172">
        <v>500</v>
      </c>
      <c r="D284" s="489">
        <v>0</v>
      </c>
      <c r="E284" s="489">
        <v>0</v>
      </c>
      <c r="F284" s="113">
        <v>500</v>
      </c>
      <c r="G284" s="489">
        <v>0</v>
      </c>
      <c r="H284" s="489">
        <v>0</v>
      </c>
      <c r="I284" s="404">
        <f t="shared" si="215"/>
        <v>80</v>
      </c>
      <c r="J284" s="491">
        <v>0</v>
      </c>
      <c r="K284" s="491">
        <v>0</v>
      </c>
      <c r="L284" s="489">
        <v>80</v>
      </c>
      <c r="M284" s="491">
        <v>0</v>
      </c>
      <c r="N284" s="491">
        <v>0</v>
      </c>
      <c r="O284" s="113"/>
      <c r="P284" s="404">
        <f t="shared" si="216"/>
        <v>80</v>
      </c>
      <c r="Q284" s="491">
        <v>0</v>
      </c>
      <c r="R284" s="491">
        <v>0</v>
      </c>
      <c r="S284" s="489">
        <v>80</v>
      </c>
      <c r="T284" s="491">
        <v>0</v>
      </c>
      <c r="U284" s="118">
        <v>0</v>
      </c>
    </row>
    <row r="285" spans="1:22" ht="22.5" customHeight="1" x14ac:dyDescent="0.25">
      <c r="A285" s="469"/>
      <c r="B285" s="156" t="s">
        <v>201</v>
      </c>
      <c r="C285" s="173">
        <f>SUM(C286:C288)</f>
        <v>320</v>
      </c>
      <c r="D285" s="489">
        <v>0</v>
      </c>
      <c r="E285" s="489">
        <v>0</v>
      </c>
      <c r="F285" s="115">
        <f>SUM(F286:F288)</f>
        <v>320</v>
      </c>
      <c r="G285" s="489">
        <v>0</v>
      </c>
      <c r="H285" s="489">
        <v>0</v>
      </c>
      <c r="I285" s="404">
        <f t="shared" si="215"/>
        <v>180</v>
      </c>
      <c r="J285" s="184">
        <v>0</v>
      </c>
      <c r="K285" s="184">
        <v>0</v>
      </c>
      <c r="L285" s="115">
        <f>SUM(L286:L288)</f>
        <v>180</v>
      </c>
      <c r="M285" s="184">
        <v>0</v>
      </c>
      <c r="N285" s="184">
        <v>0</v>
      </c>
      <c r="O285" s="113"/>
      <c r="P285" s="404">
        <f t="shared" si="216"/>
        <v>180</v>
      </c>
      <c r="Q285" s="184">
        <v>0</v>
      </c>
      <c r="R285" s="184">
        <v>0</v>
      </c>
      <c r="S285" s="115">
        <f>SUM(S286:S288)</f>
        <v>180</v>
      </c>
      <c r="T285" s="184">
        <v>0</v>
      </c>
      <c r="U285" s="118">
        <v>0</v>
      </c>
    </row>
    <row r="286" spans="1:22" ht="31.5" x14ac:dyDescent="0.25">
      <c r="A286" s="469"/>
      <c r="B286" s="34" t="s">
        <v>202</v>
      </c>
      <c r="C286" s="172">
        <v>90</v>
      </c>
      <c r="D286" s="489">
        <v>0</v>
      </c>
      <c r="E286" s="489">
        <v>0</v>
      </c>
      <c r="F286" s="171">
        <v>90</v>
      </c>
      <c r="G286" s="489">
        <v>0</v>
      </c>
      <c r="H286" s="489">
        <v>0</v>
      </c>
      <c r="I286" s="404">
        <f t="shared" si="215"/>
        <v>10</v>
      </c>
      <c r="J286" s="118">
        <v>0</v>
      </c>
      <c r="K286" s="118">
        <v>0</v>
      </c>
      <c r="L286" s="126">
        <v>10</v>
      </c>
      <c r="M286" s="118">
        <v>0</v>
      </c>
      <c r="N286" s="118">
        <v>0</v>
      </c>
      <c r="O286" s="171"/>
      <c r="P286" s="404">
        <f t="shared" si="216"/>
        <v>10</v>
      </c>
      <c r="Q286" s="118">
        <v>0</v>
      </c>
      <c r="R286" s="118">
        <v>0</v>
      </c>
      <c r="S286" s="126">
        <v>10</v>
      </c>
      <c r="T286" s="118">
        <v>0</v>
      </c>
      <c r="U286" s="118">
        <v>0</v>
      </c>
    </row>
    <row r="287" spans="1:22" ht="31.5" x14ac:dyDescent="0.25">
      <c r="A287" s="469"/>
      <c r="B287" s="34" t="s">
        <v>203</v>
      </c>
      <c r="C287" s="172">
        <v>30</v>
      </c>
      <c r="D287" s="489">
        <v>0</v>
      </c>
      <c r="E287" s="489">
        <v>0</v>
      </c>
      <c r="F287" s="171">
        <v>30</v>
      </c>
      <c r="G287" s="489">
        <v>0</v>
      </c>
      <c r="H287" s="489">
        <v>0</v>
      </c>
      <c r="I287" s="404">
        <f t="shared" si="215"/>
        <v>10</v>
      </c>
      <c r="J287" s="118">
        <v>0</v>
      </c>
      <c r="K287" s="118">
        <v>0</v>
      </c>
      <c r="L287" s="126">
        <v>10</v>
      </c>
      <c r="M287" s="118">
        <v>0</v>
      </c>
      <c r="N287" s="118">
        <v>0</v>
      </c>
      <c r="O287" s="171"/>
      <c r="P287" s="404">
        <f>SUM(Q287:U287)</f>
        <v>10</v>
      </c>
      <c r="Q287" s="118">
        <v>0</v>
      </c>
      <c r="R287" s="118">
        <v>0</v>
      </c>
      <c r="S287" s="126">
        <v>10</v>
      </c>
      <c r="T287" s="118">
        <v>0</v>
      </c>
      <c r="U287" s="118">
        <v>0</v>
      </c>
    </row>
    <row r="288" spans="1:22" ht="19.5" customHeight="1" x14ac:dyDescent="0.25">
      <c r="A288" s="469"/>
      <c r="B288" s="34" t="s">
        <v>204</v>
      </c>
      <c r="C288" s="172">
        <v>200</v>
      </c>
      <c r="D288" s="489">
        <v>0</v>
      </c>
      <c r="E288" s="489">
        <v>0</v>
      </c>
      <c r="F288" s="171">
        <v>200</v>
      </c>
      <c r="G288" s="489">
        <v>0</v>
      </c>
      <c r="H288" s="489">
        <v>0</v>
      </c>
      <c r="I288" s="404">
        <f t="shared" si="215"/>
        <v>160</v>
      </c>
      <c r="J288" s="118">
        <v>0</v>
      </c>
      <c r="K288" s="118">
        <v>0</v>
      </c>
      <c r="L288" s="126">
        <v>160</v>
      </c>
      <c r="M288" s="118">
        <v>0</v>
      </c>
      <c r="N288" s="118">
        <v>0</v>
      </c>
      <c r="O288" s="171"/>
      <c r="P288" s="404">
        <f t="shared" ref="P288:P351" si="217">SUM(Q288:U288)</f>
        <v>160</v>
      </c>
      <c r="Q288" s="118">
        <v>0</v>
      </c>
      <c r="R288" s="118">
        <v>0</v>
      </c>
      <c r="S288" s="126">
        <v>160</v>
      </c>
      <c r="T288" s="118">
        <v>0</v>
      </c>
      <c r="U288" s="118">
        <v>0</v>
      </c>
    </row>
    <row r="289" spans="1:22" ht="34.5" customHeight="1" x14ac:dyDescent="0.25">
      <c r="A289" s="52">
        <v>17</v>
      </c>
      <c r="B289" s="146" t="s">
        <v>1008</v>
      </c>
      <c r="C289" s="181">
        <f>C290+C306+C326+C337+C342+C354+C359+C364+C369+C373</f>
        <v>432473.26</v>
      </c>
      <c r="D289" s="181">
        <f t="shared" ref="D289:O289" si="218">D290+D306+D326+D337+D342+D354+D359+D364+D369+D373</f>
        <v>59292.3</v>
      </c>
      <c r="E289" s="181">
        <f t="shared" si="218"/>
        <v>242736.36</v>
      </c>
      <c r="F289" s="181">
        <f>F290+F306+F326+F337+F342+F354+F359+F364+F369+F373</f>
        <v>11937</v>
      </c>
      <c r="G289" s="181">
        <f t="shared" si="218"/>
        <v>3500</v>
      </c>
      <c r="H289" s="181">
        <f>H290+H306+H326+H337+H342+H354+H359+H364+H369+H373</f>
        <v>115007.6</v>
      </c>
      <c r="I289" s="127">
        <f t="shared" si="215"/>
        <v>190754.69128999999</v>
      </c>
      <c r="J289" s="164">
        <f>SUM(J290+J306+J326+J342+J373)</f>
        <v>2667.33</v>
      </c>
      <c r="K289" s="164">
        <f>SUM(K290+K306+K326+K342+K373)</f>
        <v>133107.27648</v>
      </c>
      <c r="L289" s="164">
        <f>SUM(L290+L306+L326+L342+L373)</f>
        <v>9910.0848100000003</v>
      </c>
      <c r="M289" s="181">
        <v>0</v>
      </c>
      <c r="N289" s="164">
        <f>SUM(N290+N306+N326+N342+N373)</f>
        <v>45070</v>
      </c>
      <c r="O289" s="164">
        <f t="shared" si="218"/>
        <v>104.53663565851434</v>
      </c>
      <c r="P289" s="127">
        <f t="shared" si="217"/>
        <v>187716.962</v>
      </c>
      <c r="Q289" s="164">
        <f>SUM(Q290+Q306+Q326+Q342+Q373)</f>
        <v>2465.174</v>
      </c>
      <c r="R289" s="164">
        <f>SUM(R290+R306+R326+R342+R373)</f>
        <v>132964.04800000001</v>
      </c>
      <c r="S289" s="164">
        <f>SUM(S290+S306+S326+S342+S373)</f>
        <v>9617.74</v>
      </c>
      <c r="T289" s="164">
        <v>0</v>
      </c>
      <c r="U289" s="164">
        <f>SUM(U290+U306+U326+U342+U373)</f>
        <v>42670</v>
      </c>
      <c r="V289" s="174"/>
    </row>
    <row r="290" spans="1:22" x14ac:dyDescent="0.25">
      <c r="A290" s="469"/>
      <c r="B290" s="147" t="s">
        <v>205</v>
      </c>
      <c r="C290" s="181">
        <f>SUM(D290:H290)</f>
        <v>71891.56</v>
      </c>
      <c r="D290" s="185">
        <f>D291+D297+D301</f>
        <v>940</v>
      </c>
      <c r="E290" s="185">
        <f>E291+E297+E301</f>
        <v>26382.959999999999</v>
      </c>
      <c r="F290" s="185">
        <f t="shared" ref="F290:G290" si="219">F291+F297+F301</f>
        <v>2000</v>
      </c>
      <c r="G290" s="185">
        <f t="shared" si="219"/>
        <v>100</v>
      </c>
      <c r="H290" s="185">
        <f>H291+H297+H301</f>
        <v>42468.6</v>
      </c>
      <c r="I290" s="127">
        <f t="shared" si="215"/>
        <v>13123.962</v>
      </c>
      <c r="J290" s="185">
        <f>SUM(J291+J301)</f>
        <v>2667.33</v>
      </c>
      <c r="K290" s="185">
        <f t="shared" ref="K290:N290" si="220">SUM(K291+K301)</f>
        <v>296.37</v>
      </c>
      <c r="L290" s="185">
        <f t="shared" si="220"/>
        <v>960.26199999999994</v>
      </c>
      <c r="M290" s="185">
        <f t="shared" si="220"/>
        <v>0</v>
      </c>
      <c r="N290" s="185">
        <f t="shared" si="220"/>
        <v>9200</v>
      </c>
      <c r="O290" s="185">
        <f>(I290/C290)*100</f>
        <v>18.255219388757176</v>
      </c>
      <c r="P290" s="127">
        <f t="shared" si="217"/>
        <v>10489.081</v>
      </c>
      <c r="Q290" s="185">
        <f t="shared" ref="Q290:U290" si="221">SUM(Q291+Q301)</f>
        <v>2465.174</v>
      </c>
      <c r="R290" s="185">
        <f t="shared" si="221"/>
        <v>273.90699999999998</v>
      </c>
      <c r="S290" s="185">
        <f t="shared" si="221"/>
        <v>950</v>
      </c>
      <c r="T290" s="185">
        <f t="shared" si="221"/>
        <v>0</v>
      </c>
      <c r="U290" s="185">
        <f t="shared" si="221"/>
        <v>6800</v>
      </c>
    </row>
    <row r="291" spans="1:22" ht="31.5" x14ac:dyDescent="0.25">
      <c r="A291" s="469"/>
      <c r="B291" s="148" t="s">
        <v>206</v>
      </c>
      <c r="C291" s="181">
        <f t="shared" ref="C291:C357" si="222">SUM(D291:H291)</f>
        <v>26856.46</v>
      </c>
      <c r="D291" s="171">
        <v>0</v>
      </c>
      <c r="E291" s="160">
        <f t="shared" ref="E291:H291" si="223">SUM(E292:E296)</f>
        <v>13362.46</v>
      </c>
      <c r="F291" s="160">
        <f t="shared" si="223"/>
        <v>2000</v>
      </c>
      <c r="G291" s="160">
        <f t="shared" si="223"/>
        <v>0</v>
      </c>
      <c r="H291" s="160">
        <f t="shared" si="223"/>
        <v>11494</v>
      </c>
      <c r="I291" s="127">
        <f t="shared" si="215"/>
        <v>7360.2619999999997</v>
      </c>
      <c r="J291" s="160">
        <v>0</v>
      </c>
      <c r="K291" s="160">
        <v>0</v>
      </c>
      <c r="L291" s="277">
        <v>960.26199999999994</v>
      </c>
      <c r="M291" s="160">
        <v>0</v>
      </c>
      <c r="N291" s="160">
        <v>6400</v>
      </c>
      <c r="O291" s="160">
        <f t="shared" ref="O291:O384" si="224">(I291/C291)*100</f>
        <v>27.405927661352241</v>
      </c>
      <c r="P291" s="127">
        <f t="shared" si="217"/>
        <v>4950</v>
      </c>
      <c r="Q291" s="160">
        <v>0</v>
      </c>
      <c r="R291" s="160">
        <v>0</v>
      </c>
      <c r="S291" s="160">
        <v>950</v>
      </c>
      <c r="T291" s="160">
        <v>0</v>
      </c>
      <c r="U291" s="160">
        <v>4000</v>
      </c>
    </row>
    <row r="292" spans="1:22" ht="21.75" customHeight="1" x14ac:dyDescent="0.25">
      <c r="A292" s="469"/>
      <c r="B292" s="149" t="s">
        <v>207</v>
      </c>
      <c r="C292" s="181">
        <f t="shared" si="222"/>
        <v>12762.46</v>
      </c>
      <c r="D292" s="171">
        <v>0</v>
      </c>
      <c r="E292" s="277">
        <v>4362.46</v>
      </c>
      <c r="F292" s="277">
        <v>2000</v>
      </c>
      <c r="G292" s="277"/>
      <c r="H292" s="277">
        <v>6400</v>
      </c>
      <c r="I292" s="127">
        <f t="shared" si="215"/>
        <v>7360.2619999999997</v>
      </c>
      <c r="J292" s="160">
        <v>0</v>
      </c>
      <c r="K292" s="160">
        <v>0</v>
      </c>
      <c r="L292" s="277">
        <v>960.26199999999994</v>
      </c>
      <c r="M292" s="160">
        <v>0</v>
      </c>
      <c r="N292" s="160">
        <v>6400</v>
      </c>
      <c r="O292" s="160">
        <f t="shared" si="224"/>
        <v>57.671185649161686</v>
      </c>
      <c r="P292" s="127">
        <f t="shared" si="217"/>
        <v>4950</v>
      </c>
      <c r="Q292" s="160">
        <v>0</v>
      </c>
      <c r="R292" s="160">
        <v>0</v>
      </c>
      <c r="S292" s="160">
        <v>950</v>
      </c>
      <c r="T292" s="160">
        <v>0</v>
      </c>
      <c r="U292" s="160">
        <v>4000</v>
      </c>
    </row>
    <row r="293" spans="1:22" ht="22.5" customHeight="1" x14ac:dyDescent="0.25">
      <c r="A293" s="469"/>
      <c r="B293" s="149" t="s">
        <v>208</v>
      </c>
      <c r="C293" s="181">
        <f t="shared" si="222"/>
        <v>0</v>
      </c>
      <c r="D293" s="171">
        <v>0</v>
      </c>
      <c r="E293" s="171">
        <v>0</v>
      </c>
      <c r="F293" s="171">
        <v>0</v>
      </c>
      <c r="G293" s="171">
        <v>0</v>
      </c>
      <c r="H293" s="160">
        <v>0</v>
      </c>
      <c r="I293" s="127">
        <f t="shared" si="215"/>
        <v>0</v>
      </c>
      <c r="J293" s="160"/>
      <c r="K293" s="160"/>
      <c r="L293" s="160"/>
      <c r="M293" s="160"/>
      <c r="N293" s="160"/>
      <c r="O293" s="160"/>
      <c r="P293" s="127">
        <f t="shared" si="217"/>
        <v>0</v>
      </c>
      <c r="Q293" s="160"/>
      <c r="R293" s="160"/>
      <c r="S293" s="160"/>
      <c r="T293" s="160"/>
      <c r="U293" s="160"/>
    </row>
    <row r="294" spans="1:22" ht="23.25" customHeight="1" x14ac:dyDescent="0.25">
      <c r="A294" s="469"/>
      <c r="B294" s="149" t="s">
        <v>209</v>
      </c>
      <c r="C294" s="181">
        <f t="shared" si="222"/>
        <v>0</v>
      </c>
      <c r="D294" s="171">
        <v>0</v>
      </c>
      <c r="E294" s="171">
        <v>0</v>
      </c>
      <c r="F294" s="171">
        <v>0</v>
      </c>
      <c r="G294" s="171">
        <v>0</v>
      </c>
      <c r="H294" s="160">
        <v>0</v>
      </c>
      <c r="I294" s="127">
        <f t="shared" si="215"/>
        <v>0</v>
      </c>
      <c r="J294" s="160"/>
      <c r="K294" s="160"/>
      <c r="L294" s="160"/>
      <c r="M294" s="160"/>
      <c r="N294" s="160">
        <v>0</v>
      </c>
      <c r="O294" s="160"/>
      <c r="P294" s="127">
        <f t="shared" si="217"/>
        <v>0</v>
      </c>
      <c r="Q294" s="160"/>
      <c r="R294" s="160"/>
      <c r="S294" s="160">
        <v>0</v>
      </c>
      <c r="T294" s="160"/>
      <c r="U294" s="160">
        <v>0</v>
      </c>
    </row>
    <row r="295" spans="1:22" ht="21.75" customHeight="1" x14ac:dyDescent="0.25">
      <c r="A295" s="469"/>
      <c r="B295" s="149" t="s">
        <v>210</v>
      </c>
      <c r="C295" s="181">
        <f t="shared" si="222"/>
        <v>0</v>
      </c>
      <c r="D295" s="171">
        <v>0</v>
      </c>
      <c r="E295" s="171">
        <v>0</v>
      </c>
      <c r="F295" s="171">
        <v>0</v>
      </c>
      <c r="G295" s="171">
        <v>0</v>
      </c>
      <c r="H295" s="160"/>
      <c r="I295" s="127">
        <f t="shared" si="215"/>
        <v>0</v>
      </c>
      <c r="J295" s="160"/>
      <c r="K295" s="160">
        <v>0</v>
      </c>
      <c r="L295" s="160"/>
      <c r="M295" s="160"/>
      <c r="N295" s="160"/>
      <c r="O295" s="160"/>
      <c r="P295" s="127">
        <f t="shared" si="217"/>
        <v>0</v>
      </c>
      <c r="Q295" s="160"/>
      <c r="R295" s="160">
        <v>0</v>
      </c>
      <c r="S295" s="160"/>
      <c r="T295" s="160"/>
      <c r="U295" s="160"/>
    </row>
    <row r="296" spans="1:22" ht="20.25" customHeight="1" x14ac:dyDescent="0.25">
      <c r="A296" s="469"/>
      <c r="B296" s="149" t="s">
        <v>1028</v>
      </c>
      <c r="C296" s="181">
        <f t="shared" si="222"/>
        <v>14094</v>
      </c>
      <c r="D296" s="171">
        <v>0</v>
      </c>
      <c r="E296" s="160">
        <v>9000</v>
      </c>
      <c r="F296" s="171">
        <v>0</v>
      </c>
      <c r="G296" s="171">
        <v>0</v>
      </c>
      <c r="H296" s="160">
        <v>5094</v>
      </c>
      <c r="I296" s="127">
        <f t="shared" si="215"/>
        <v>0</v>
      </c>
      <c r="J296" s="160"/>
      <c r="K296" s="160"/>
      <c r="L296" s="160"/>
      <c r="M296" s="160"/>
      <c r="N296" s="160"/>
      <c r="O296" s="160"/>
      <c r="P296" s="127">
        <f t="shared" si="217"/>
        <v>0</v>
      </c>
      <c r="Q296" s="160"/>
      <c r="R296" s="160"/>
      <c r="S296" s="160"/>
      <c r="T296" s="160"/>
      <c r="U296" s="160"/>
    </row>
    <row r="297" spans="1:22" x14ac:dyDescent="0.25">
      <c r="A297" s="469"/>
      <c r="B297" s="148" t="s">
        <v>212</v>
      </c>
      <c r="C297" s="181">
        <f t="shared" si="222"/>
        <v>6384.6</v>
      </c>
      <c r="D297" s="171">
        <v>0</v>
      </c>
      <c r="E297" s="160">
        <f>SUM(E298:E300)</f>
        <v>3047</v>
      </c>
      <c r="F297" s="171">
        <v>0</v>
      </c>
      <c r="G297" s="171">
        <v>0</v>
      </c>
      <c r="H297" s="160">
        <f>SUM(H298:H300)</f>
        <v>3337.6</v>
      </c>
      <c r="I297" s="127">
        <f t="shared" si="215"/>
        <v>0</v>
      </c>
      <c r="J297" s="160">
        <v>0</v>
      </c>
      <c r="K297" s="160">
        <v>0</v>
      </c>
      <c r="L297" s="160">
        <v>0</v>
      </c>
      <c r="M297" s="160">
        <v>0</v>
      </c>
      <c r="N297" s="160">
        <v>0</v>
      </c>
      <c r="O297" s="160"/>
      <c r="P297" s="127">
        <f t="shared" si="217"/>
        <v>0</v>
      </c>
      <c r="Q297" s="160">
        <v>0</v>
      </c>
      <c r="R297" s="160">
        <v>0</v>
      </c>
      <c r="S297" s="160">
        <v>0</v>
      </c>
      <c r="T297" s="160">
        <v>0</v>
      </c>
      <c r="U297" s="160">
        <v>0</v>
      </c>
    </row>
    <row r="298" spans="1:22" x14ac:dyDescent="0.25">
      <c r="A298" s="469"/>
      <c r="B298" s="149" t="s">
        <v>213</v>
      </c>
      <c r="C298" s="181">
        <f t="shared" si="222"/>
        <v>0</v>
      </c>
      <c r="D298" s="171">
        <v>0</v>
      </c>
      <c r="E298" s="160"/>
      <c r="F298" s="171">
        <v>0</v>
      </c>
      <c r="G298" s="171">
        <v>0</v>
      </c>
      <c r="H298" s="160"/>
      <c r="I298" s="127">
        <f t="shared" si="215"/>
        <v>0</v>
      </c>
      <c r="J298" s="160"/>
      <c r="K298" s="160"/>
      <c r="L298" s="160"/>
      <c r="M298" s="160"/>
      <c r="N298" s="160"/>
      <c r="O298" s="160"/>
      <c r="P298" s="127">
        <f t="shared" si="217"/>
        <v>0</v>
      </c>
      <c r="Q298" s="160"/>
      <c r="R298" s="160"/>
      <c r="S298" s="160"/>
      <c r="T298" s="160"/>
      <c r="U298" s="160"/>
    </row>
    <row r="299" spans="1:22" ht="21.75" customHeight="1" x14ac:dyDescent="0.25">
      <c r="A299" s="469"/>
      <c r="B299" s="149" t="s">
        <v>214</v>
      </c>
      <c r="C299" s="181">
        <f t="shared" si="222"/>
        <v>1884.6</v>
      </c>
      <c r="D299" s="171">
        <v>0</v>
      </c>
      <c r="E299" s="277">
        <v>1047</v>
      </c>
      <c r="F299" s="277"/>
      <c r="G299" s="277"/>
      <c r="H299" s="277">
        <v>837.6</v>
      </c>
      <c r="I299" s="127">
        <f t="shared" si="215"/>
        <v>0</v>
      </c>
      <c r="J299" s="160"/>
      <c r="K299" s="160"/>
      <c r="L299" s="160"/>
      <c r="M299" s="160"/>
      <c r="N299" s="160"/>
      <c r="O299" s="160"/>
      <c r="P299" s="127">
        <f t="shared" si="217"/>
        <v>0</v>
      </c>
      <c r="Q299" s="160"/>
      <c r="R299" s="160"/>
      <c r="S299" s="160"/>
      <c r="T299" s="160"/>
      <c r="U299" s="160"/>
    </row>
    <row r="300" spans="1:22" ht="18" customHeight="1" x14ac:dyDescent="0.25">
      <c r="A300" s="469"/>
      <c r="B300" s="149" t="s">
        <v>215</v>
      </c>
      <c r="C300" s="181">
        <f t="shared" si="222"/>
        <v>4500</v>
      </c>
      <c r="D300" s="171">
        <v>0</v>
      </c>
      <c r="E300" s="277">
        <v>2000</v>
      </c>
      <c r="F300" s="277"/>
      <c r="G300" s="277"/>
      <c r="H300" s="277">
        <v>2500</v>
      </c>
      <c r="I300" s="127">
        <f t="shared" si="215"/>
        <v>0</v>
      </c>
      <c r="J300" s="160"/>
      <c r="K300" s="160"/>
      <c r="L300" s="160"/>
      <c r="M300" s="160">
        <v>0</v>
      </c>
      <c r="N300" s="160"/>
      <c r="O300" s="160"/>
      <c r="P300" s="127">
        <f t="shared" si="217"/>
        <v>0</v>
      </c>
      <c r="Q300" s="160"/>
      <c r="R300" s="160"/>
      <c r="S300" s="160">
        <v>0</v>
      </c>
      <c r="T300" s="160">
        <v>0</v>
      </c>
      <c r="U300" s="160"/>
    </row>
    <row r="301" spans="1:22" ht="31.5" x14ac:dyDescent="0.25">
      <c r="A301" s="469"/>
      <c r="B301" s="148" t="s">
        <v>216</v>
      </c>
      <c r="C301" s="181">
        <f t="shared" si="222"/>
        <v>38650.5</v>
      </c>
      <c r="D301" s="160">
        <f>SUM(D302:D305)</f>
        <v>940</v>
      </c>
      <c r="E301" s="160">
        <f>SUM(E302:E305)</f>
        <v>9973.5</v>
      </c>
      <c r="F301" s="171">
        <v>0</v>
      </c>
      <c r="G301" s="160">
        <f>SUM(G302:G305)</f>
        <v>100</v>
      </c>
      <c r="H301" s="160">
        <f>SUM(H302:H305)</f>
        <v>27637</v>
      </c>
      <c r="I301" s="127">
        <f t="shared" si="215"/>
        <v>5763.7</v>
      </c>
      <c r="J301" s="277">
        <f>SUM(J302:J305)</f>
        <v>2667.33</v>
      </c>
      <c r="K301" s="277">
        <f>SUM(K302:K305)</f>
        <v>296.37</v>
      </c>
      <c r="L301" s="160">
        <v>0</v>
      </c>
      <c r="M301" s="160">
        <v>0</v>
      </c>
      <c r="N301" s="160">
        <v>2800</v>
      </c>
      <c r="O301" s="160"/>
      <c r="P301" s="127">
        <f t="shared" si="217"/>
        <v>5539.0810000000001</v>
      </c>
      <c r="Q301" s="160">
        <v>2465.174</v>
      </c>
      <c r="R301" s="364">
        <v>273.90699999999998</v>
      </c>
      <c r="S301" s="160">
        <v>0</v>
      </c>
      <c r="T301" s="160">
        <v>0</v>
      </c>
      <c r="U301" s="160">
        <v>2800</v>
      </c>
    </row>
    <row r="302" spans="1:22" ht="21.75" customHeight="1" x14ac:dyDescent="0.25">
      <c r="A302" s="469"/>
      <c r="B302" s="149" t="s">
        <v>217</v>
      </c>
      <c r="C302" s="181">
        <f t="shared" si="222"/>
        <v>31760.5</v>
      </c>
      <c r="D302" s="160"/>
      <c r="E302" s="160">
        <v>7523.5</v>
      </c>
      <c r="F302" s="277">
        <v>0</v>
      </c>
      <c r="G302" s="277"/>
      <c r="H302" s="277">
        <v>24237</v>
      </c>
      <c r="I302" s="127">
        <f t="shared" si="215"/>
        <v>0</v>
      </c>
      <c r="J302" s="160"/>
      <c r="K302" s="160"/>
      <c r="L302" s="160"/>
      <c r="M302" s="160"/>
      <c r="N302" s="160"/>
      <c r="O302" s="160"/>
      <c r="P302" s="127">
        <f t="shared" si="217"/>
        <v>0</v>
      </c>
      <c r="Q302" s="160"/>
      <c r="R302" s="365"/>
      <c r="S302" s="160"/>
      <c r="T302" s="160"/>
      <c r="U302" s="160"/>
    </row>
    <row r="303" spans="1:22" ht="19.5" customHeight="1" x14ac:dyDescent="0.25">
      <c r="A303" s="469"/>
      <c r="B303" s="149" t="s">
        <v>218</v>
      </c>
      <c r="C303" s="181">
        <f t="shared" si="222"/>
        <v>0</v>
      </c>
      <c r="D303" s="160"/>
      <c r="E303" s="160"/>
      <c r="F303" s="171">
        <v>0</v>
      </c>
      <c r="G303" s="160"/>
      <c r="H303" s="160"/>
      <c r="I303" s="127">
        <f t="shared" si="215"/>
        <v>0</v>
      </c>
      <c r="J303" s="160"/>
      <c r="K303" s="160"/>
      <c r="L303" s="160"/>
      <c r="M303" s="160"/>
      <c r="N303" s="160"/>
      <c r="O303" s="160"/>
      <c r="P303" s="127">
        <f t="shared" si="217"/>
        <v>0</v>
      </c>
      <c r="Q303" s="160"/>
      <c r="R303" s="365"/>
      <c r="S303" s="160"/>
      <c r="T303" s="160"/>
      <c r="U303" s="160"/>
    </row>
    <row r="304" spans="1:22" ht="18" customHeight="1" x14ac:dyDescent="0.25">
      <c r="A304" s="469"/>
      <c r="B304" s="149" t="s">
        <v>219</v>
      </c>
      <c r="C304" s="181">
        <f t="shared" si="222"/>
        <v>6340</v>
      </c>
      <c r="D304" s="160">
        <v>940</v>
      </c>
      <c r="E304" s="160">
        <v>2200</v>
      </c>
      <c r="F304" s="171">
        <v>0</v>
      </c>
      <c r="G304" s="160"/>
      <c r="H304" s="160">
        <v>3200</v>
      </c>
      <c r="I304" s="127">
        <f t="shared" si="215"/>
        <v>5763.7</v>
      </c>
      <c r="J304" s="160">
        <v>2667.33</v>
      </c>
      <c r="K304" s="277">
        <v>296.37</v>
      </c>
      <c r="L304" s="160">
        <v>0</v>
      </c>
      <c r="M304" s="160">
        <v>0</v>
      </c>
      <c r="N304" s="160">
        <v>2800</v>
      </c>
      <c r="O304" s="160"/>
      <c r="P304" s="127">
        <f t="shared" si="217"/>
        <v>5539.0810000000001</v>
      </c>
      <c r="Q304" s="160">
        <v>2465.174</v>
      </c>
      <c r="R304" s="364">
        <v>273.90699999999998</v>
      </c>
      <c r="S304" s="160">
        <v>0</v>
      </c>
      <c r="T304" s="160">
        <v>0</v>
      </c>
      <c r="U304" s="160">
        <v>2800</v>
      </c>
    </row>
    <row r="305" spans="1:21" ht="21" customHeight="1" x14ac:dyDescent="0.25">
      <c r="A305" s="469"/>
      <c r="B305" s="149" t="s">
        <v>220</v>
      </c>
      <c r="C305" s="181">
        <f t="shared" si="222"/>
        <v>550</v>
      </c>
      <c r="D305" s="160"/>
      <c r="E305" s="160">
        <v>250</v>
      </c>
      <c r="F305" s="171">
        <v>0</v>
      </c>
      <c r="G305" s="160">
        <v>100</v>
      </c>
      <c r="H305" s="160">
        <v>200</v>
      </c>
      <c r="I305" s="127">
        <f t="shared" si="215"/>
        <v>0</v>
      </c>
      <c r="J305" s="160"/>
      <c r="K305" s="160"/>
      <c r="L305" s="160"/>
      <c r="M305" s="160"/>
      <c r="N305" s="160"/>
      <c r="O305" s="160"/>
      <c r="P305" s="127">
        <f t="shared" si="217"/>
        <v>0</v>
      </c>
      <c r="Q305" s="160"/>
      <c r="R305" s="160"/>
      <c r="S305" s="160"/>
      <c r="T305" s="160"/>
      <c r="U305" s="160"/>
    </row>
    <row r="306" spans="1:21" ht="19.5" customHeight="1" x14ac:dyDescent="0.25">
      <c r="A306" s="469"/>
      <c r="B306" s="147" t="s">
        <v>221</v>
      </c>
      <c r="C306" s="181">
        <f t="shared" si="222"/>
        <v>27765</v>
      </c>
      <c r="D306" s="160">
        <f>D307+D311+D317+D320+D323</f>
        <v>3000</v>
      </c>
      <c r="E306" s="160">
        <f>E307+E311+E317+E320+E323</f>
        <v>12910</v>
      </c>
      <c r="F306" s="160">
        <f t="shared" ref="F306:G306" si="225">F307+F311+F317+F320+F323</f>
        <v>5000</v>
      </c>
      <c r="G306" s="160">
        <f t="shared" si="225"/>
        <v>900</v>
      </c>
      <c r="H306" s="160">
        <f>H307+H311+H317+H320+H323</f>
        <v>5955</v>
      </c>
      <c r="I306" s="127">
        <f t="shared" si="215"/>
        <v>12077.16029</v>
      </c>
      <c r="J306" s="160">
        <v>0</v>
      </c>
      <c r="K306" s="160">
        <f>SUM(K311+K317)</f>
        <v>5067.4224800000002</v>
      </c>
      <c r="L306" s="160">
        <f>SUM(L311+L317)</f>
        <v>5009.7378099999996</v>
      </c>
      <c r="M306" s="160">
        <v>0</v>
      </c>
      <c r="N306" s="160">
        <f>SUM(N311+N317)</f>
        <v>2000</v>
      </c>
      <c r="O306" s="160"/>
      <c r="P306" s="127">
        <f t="shared" si="217"/>
        <v>11990.924999999999</v>
      </c>
      <c r="Q306" s="160">
        <v>0</v>
      </c>
      <c r="R306" s="160">
        <f t="shared" ref="R306:U306" si="226">SUM(R311+R317)</f>
        <v>4981.1849999999995</v>
      </c>
      <c r="S306" s="160">
        <f>SUM(S311+S317)</f>
        <v>5009.74</v>
      </c>
      <c r="T306" s="160">
        <f t="shared" si="226"/>
        <v>0</v>
      </c>
      <c r="U306" s="160">
        <f t="shared" si="226"/>
        <v>2000</v>
      </c>
    </row>
    <row r="307" spans="1:21" x14ac:dyDescent="0.25">
      <c r="A307" s="469"/>
      <c r="B307" s="148" t="s">
        <v>222</v>
      </c>
      <c r="C307" s="181">
        <f t="shared" si="222"/>
        <v>2120</v>
      </c>
      <c r="D307" s="171">
        <v>0</v>
      </c>
      <c r="E307" s="160">
        <f t="shared" ref="E307:H307" si="227">E308+E309+E310</f>
        <v>1700</v>
      </c>
      <c r="F307" s="160">
        <f t="shared" si="227"/>
        <v>0</v>
      </c>
      <c r="G307" s="160">
        <f t="shared" si="227"/>
        <v>0</v>
      </c>
      <c r="H307" s="160">
        <f t="shared" si="227"/>
        <v>420</v>
      </c>
      <c r="I307" s="127">
        <f t="shared" si="215"/>
        <v>0</v>
      </c>
      <c r="J307" s="160">
        <v>0</v>
      </c>
      <c r="K307" s="160">
        <v>0</v>
      </c>
      <c r="L307" s="160">
        <v>0</v>
      </c>
      <c r="M307" s="160">
        <v>0</v>
      </c>
      <c r="N307" s="160">
        <v>0</v>
      </c>
      <c r="O307" s="160"/>
      <c r="P307" s="127">
        <f t="shared" si="217"/>
        <v>0</v>
      </c>
      <c r="Q307" s="160">
        <v>0</v>
      </c>
      <c r="R307" s="160">
        <v>0</v>
      </c>
      <c r="S307" s="160">
        <v>0</v>
      </c>
      <c r="T307" s="160">
        <v>0</v>
      </c>
      <c r="U307" s="160">
        <v>0</v>
      </c>
    </row>
    <row r="308" spans="1:21" ht="20.25" customHeight="1" x14ac:dyDescent="0.25">
      <c r="A308" s="469"/>
      <c r="B308" s="149" t="s">
        <v>223</v>
      </c>
      <c r="C308" s="181">
        <f t="shared" si="222"/>
        <v>0</v>
      </c>
      <c r="D308" s="171">
        <v>0</v>
      </c>
      <c r="E308" s="160">
        <v>0</v>
      </c>
      <c r="F308" s="160">
        <v>0</v>
      </c>
      <c r="G308" s="160">
        <v>0</v>
      </c>
      <c r="H308" s="160"/>
      <c r="I308" s="127">
        <f t="shared" si="215"/>
        <v>0</v>
      </c>
      <c r="J308" s="160"/>
      <c r="K308" s="160"/>
      <c r="L308" s="160"/>
      <c r="M308" s="160"/>
      <c r="N308" s="160"/>
      <c r="O308" s="160" t="e">
        <f t="shared" si="224"/>
        <v>#DIV/0!</v>
      </c>
      <c r="P308" s="127">
        <f t="shared" si="217"/>
        <v>0</v>
      </c>
      <c r="Q308" s="160"/>
      <c r="R308" s="160"/>
      <c r="S308" s="160"/>
      <c r="T308" s="160">
        <v>0</v>
      </c>
      <c r="U308" s="160">
        <v>0</v>
      </c>
    </row>
    <row r="309" spans="1:21" x14ac:dyDescent="0.25">
      <c r="A309" s="469"/>
      <c r="B309" s="149" t="s">
        <v>224</v>
      </c>
      <c r="C309" s="181">
        <f t="shared" si="222"/>
        <v>2120</v>
      </c>
      <c r="D309" s="171">
        <v>0</v>
      </c>
      <c r="E309" s="160">
        <v>1700</v>
      </c>
      <c r="F309" s="160">
        <v>0</v>
      </c>
      <c r="G309" s="160">
        <v>0</v>
      </c>
      <c r="H309" s="160">
        <v>420</v>
      </c>
      <c r="I309" s="127">
        <f t="shared" si="215"/>
        <v>0</v>
      </c>
      <c r="J309" s="160"/>
      <c r="K309" s="160"/>
      <c r="L309" s="160"/>
      <c r="M309" s="160"/>
      <c r="N309" s="160"/>
      <c r="O309" s="160">
        <f t="shared" si="224"/>
        <v>0</v>
      </c>
      <c r="P309" s="127">
        <f t="shared" si="217"/>
        <v>0</v>
      </c>
      <c r="Q309" s="160"/>
      <c r="R309" s="160"/>
      <c r="S309" s="160"/>
      <c r="T309" s="160"/>
      <c r="U309" s="160">
        <v>0</v>
      </c>
    </row>
    <row r="310" spans="1:21" x14ac:dyDescent="0.25">
      <c r="A310" s="469"/>
      <c r="B310" s="149" t="s">
        <v>225</v>
      </c>
      <c r="C310" s="181">
        <f t="shared" si="222"/>
        <v>0</v>
      </c>
      <c r="D310" s="171">
        <v>0</v>
      </c>
      <c r="E310" s="160"/>
      <c r="F310" s="160">
        <v>0</v>
      </c>
      <c r="G310" s="160">
        <v>0</v>
      </c>
      <c r="H310" s="160"/>
      <c r="I310" s="127">
        <f t="shared" si="215"/>
        <v>0</v>
      </c>
      <c r="J310" s="160">
        <v>0</v>
      </c>
      <c r="K310" s="160">
        <v>0</v>
      </c>
      <c r="L310" s="160">
        <v>0</v>
      </c>
      <c r="M310" s="160"/>
      <c r="N310" s="160">
        <v>0</v>
      </c>
      <c r="O310" s="160" t="e">
        <f t="shared" si="224"/>
        <v>#DIV/0!</v>
      </c>
      <c r="P310" s="127">
        <f t="shared" si="217"/>
        <v>0</v>
      </c>
      <c r="Q310" s="160">
        <v>0</v>
      </c>
      <c r="R310" s="160">
        <v>0</v>
      </c>
      <c r="S310" s="160">
        <v>0</v>
      </c>
      <c r="T310" s="160"/>
      <c r="U310" s="160">
        <v>0</v>
      </c>
    </row>
    <row r="311" spans="1:21" x14ac:dyDescent="0.25">
      <c r="A311" s="469"/>
      <c r="B311" s="148" t="s">
        <v>226</v>
      </c>
      <c r="C311" s="181">
        <f>SUM(D311:H311)</f>
        <v>21115</v>
      </c>
      <c r="D311" s="171">
        <v>0</v>
      </c>
      <c r="E311" s="160">
        <f>SUM(E312:E315)</f>
        <v>10015</v>
      </c>
      <c r="F311" s="160">
        <f t="shared" ref="F311:H311" si="228">SUM(F312:F315)</f>
        <v>5000</v>
      </c>
      <c r="G311" s="160">
        <f t="shared" si="228"/>
        <v>900</v>
      </c>
      <c r="H311" s="160">
        <f t="shared" si="228"/>
        <v>5200</v>
      </c>
      <c r="I311" s="127">
        <f t="shared" si="215"/>
        <v>11805.85929</v>
      </c>
      <c r="J311" s="160"/>
      <c r="K311" s="165">
        <v>4796.1214799999998</v>
      </c>
      <c r="L311" s="165">
        <v>5009.7378099999996</v>
      </c>
      <c r="M311" s="165">
        <v>0</v>
      </c>
      <c r="N311" s="165">
        <v>2000</v>
      </c>
      <c r="O311" s="165">
        <f t="shared" ref="O311" si="229">O312+O313+O314+O315</f>
        <v>132.82886852143167</v>
      </c>
      <c r="P311" s="127">
        <f t="shared" si="217"/>
        <v>11805.86</v>
      </c>
      <c r="Q311" s="165">
        <v>0</v>
      </c>
      <c r="R311" s="165">
        <v>4796.12</v>
      </c>
      <c r="S311" s="165">
        <f>SUM(S312:S316)</f>
        <v>5009.74</v>
      </c>
      <c r="T311" s="165">
        <v>0</v>
      </c>
      <c r="U311" s="160">
        <v>2000</v>
      </c>
    </row>
    <row r="312" spans="1:21" x14ac:dyDescent="0.25">
      <c r="A312" s="469"/>
      <c r="B312" s="149" t="s">
        <v>227</v>
      </c>
      <c r="C312" s="181">
        <f t="shared" si="222"/>
        <v>5855</v>
      </c>
      <c r="D312" s="171">
        <v>0</v>
      </c>
      <c r="E312" s="160">
        <v>3505</v>
      </c>
      <c r="F312" s="160">
        <v>1850</v>
      </c>
      <c r="G312" s="160">
        <v>0</v>
      </c>
      <c r="H312" s="160">
        <v>500</v>
      </c>
      <c r="I312" s="127">
        <f t="shared" si="215"/>
        <v>3206.1214799999998</v>
      </c>
      <c r="J312" s="160">
        <v>0</v>
      </c>
      <c r="K312" s="160">
        <v>1251.12148</v>
      </c>
      <c r="L312" s="160">
        <v>1455</v>
      </c>
      <c r="M312" s="160"/>
      <c r="N312" s="160">
        <v>500</v>
      </c>
      <c r="O312" s="160">
        <f t="shared" si="224"/>
        <v>54.758693082835173</v>
      </c>
      <c r="P312" s="127">
        <f t="shared" si="217"/>
        <v>3206.12</v>
      </c>
      <c r="Q312" s="160"/>
      <c r="R312" s="160">
        <v>1251.1199999999999</v>
      </c>
      <c r="S312" s="160">
        <v>1455</v>
      </c>
      <c r="T312" s="160"/>
      <c r="U312" s="160">
        <v>500</v>
      </c>
    </row>
    <row r="313" spans="1:21" x14ac:dyDescent="0.25">
      <c r="A313" s="469"/>
      <c r="B313" s="149" t="s">
        <v>228</v>
      </c>
      <c r="C313" s="181">
        <f t="shared" si="222"/>
        <v>5700</v>
      </c>
      <c r="D313" s="171">
        <v>0</v>
      </c>
      <c r="E313" s="160">
        <v>2400</v>
      </c>
      <c r="F313" s="160">
        <v>1500</v>
      </c>
      <c r="G313" s="160">
        <v>600</v>
      </c>
      <c r="H313" s="160">
        <v>1200</v>
      </c>
      <c r="I313" s="127">
        <f t="shared" si="215"/>
        <v>4450</v>
      </c>
      <c r="J313" s="160">
        <v>0</v>
      </c>
      <c r="K313" s="160">
        <v>1625</v>
      </c>
      <c r="L313" s="160">
        <v>1625</v>
      </c>
      <c r="M313" s="160">
        <v>0</v>
      </c>
      <c r="N313" s="160">
        <v>1200</v>
      </c>
      <c r="O313" s="160">
        <f t="shared" si="224"/>
        <v>78.070175438596493</v>
      </c>
      <c r="P313" s="127">
        <f t="shared" si="217"/>
        <v>4450</v>
      </c>
      <c r="Q313" s="160">
        <v>0</v>
      </c>
      <c r="R313" s="160">
        <v>1625</v>
      </c>
      <c r="S313" s="160">
        <v>1625</v>
      </c>
      <c r="T313" s="160">
        <v>0</v>
      </c>
      <c r="U313" s="160">
        <v>1200</v>
      </c>
    </row>
    <row r="314" spans="1:21" x14ac:dyDescent="0.25">
      <c r="A314" s="469"/>
      <c r="B314" s="149" t="s">
        <v>229</v>
      </c>
      <c r="C314" s="181">
        <f t="shared" si="222"/>
        <v>2360</v>
      </c>
      <c r="D314" s="171">
        <v>0</v>
      </c>
      <c r="E314" s="160">
        <v>110</v>
      </c>
      <c r="F314" s="160">
        <v>1650</v>
      </c>
      <c r="G314" s="160">
        <v>300</v>
      </c>
      <c r="H314" s="160">
        <v>300</v>
      </c>
      <c r="I314" s="127">
        <f t="shared" si="215"/>
        <v>4140</v>
      </c>
      <c r="J314" s="160"/>
      <c r="K314" s="160">
        <v>1920</v>
      </c>
      <c r="L314" s="160">
        <v>1920</v>
      </c>
      <c r="M314" s="160">
        <v>0</v>
      </c>
      <c r="N314" s="160">
        <v>300</v>
      </c>
      <c r="O314" s="160"/>
      <c r="P314" s="127">
        <f t="shared" si="217"/>
        <v>4140</v>
      </c>
      <c r="Q314" s="160">
        <v>0</v>
      </c>
      <c r="R314" s="160">
        <v>1920</v>
      </c>
      <c r="S314" s="160">
        <v>1920</v>
      </c>
      <c r="T314" s="160">
        <v>0</v>
      </c>
      <c r="U314" s="160">
        <v>300</v>
      </c>
    </row>
    <row r="315" spans="1:21" x14ac:dyDescent="0.25">
      <c r="A315" s="469"/>
      <c r="B315" s="149" t="s">
        <v>230</v>
      </c>
      <c r="C315" s="181">
        <f t="shared" si="222"/>
        <v>7200</v>
      </c>
      <c r="D315" s="171">
        <v>0</v>
      </c>
      <c r="E315" s="160">
        <v>4000</v>
      </c>
      <c r="F315" s="171">
        <v>0</v>
      </c>
      <c r="G315" s="171">
        <v>0</v>
      </c>
      <c r="H315" s="160">
        <v>3200</v>
      </c>
      <c r="I315" s="127">
        <f t="shared" si="215"/>
        <v>0</v>
      </c>
      <c r="J315" s="160"/>
      <c r="K315" s="160"/>
      <c r="L315" s="160"/>
      <c r="M315" s="160"/>
      <c r="N315" s="160"/>
      <c r="O315" s="160"/>
      <c r="P315" s="127">
        <f t="shared" si="217"/>
        <v>0</v>
      </c>
      <c r="Q315" s="160">
        <v>0</v>
      </c>
      <c r="R315" s="160">
        <v>0</v>
      </c>
      <c r="S315" s="160">
        <v>0</v>
      </c>
      <c r="T315" s="160">
        <v>0</v>
      </c>
      <c r="U315" s="160">
        <v>0</v>
      </c>
    </row>
    <row r="316" spans="1:21" x14ac:dyDescent="0.25">
      <c r="A316" s="469"/>
      <c r="B316" s="149" t="s">
        <v>231</v>
      </c>
      <c r="C316" s="181"/>
      <c r="D316" s="171">
        <v>0</v>
      </c>
      <c r="E316" s="160"/>
      <c r="F316" s="171">
        <v>0</v>
      </c>
      <c r="G316" s="171">
        <v>0</v>
      </c>
      <c r="H316" s="160"/>
      <c r="I316" s="127">
        <f t="shared" si="215"/>
        <v>9.7378099999999996</v>
      </c>
      <c r="J316" s="160"/>
      <c r="K316" s="160"/>
      <c r="L316" s="160">
        <v>9.7378099999999996</v>
      </c>
      <c r="M316" s="160"/>
      <c r="N316" s="160"/>
      <c r="O316" s="160"/>
      <c r="P316" s="127">
        <f t="shared" si="217"/>
        <v>9.74</v>
      </c>
      <c r="Q316" s="160">
        <v>0</v>
      </c>
      <c r="R316" s="160">
        <v>0</v>
      </c>
      <c r="S316" s="160">
        <v>9.74</v>
      </c>
      <c r="T316" s="160">
        <v>0</v>
      </c>
      <c r="U316" s="160">
        <v>0</v>
      </c>
    </row>
    <row r="317" spans="1:21" x14ac:dyDescent="0.25">
      <c r="A317" s="469"/>
      <c r="B317" s="148" t="s">
        <v>232</v>
      </c>
      <c r="C317" s="181">
        <f>C318+C319</f>
        <v>1050</v>
      </c>
      <c r="D317" s="171">
        <v>0</v>
      </c>
      <c r="E317" s="160">
        <f t="shared" ref="E317" si="230">SUM(E318:E319)</f>
        <v>865</v>
      </c>
      <c r="F317" s="171">
        <v>0</v>
      </c>
      <c r="G317" s="171">
        <v>0</v>
      </c>
      <c r="H317" s="160">
        <f>H318+H319</f>
        <v>185</v>
      </c>
      <c r="I317" s="127">
        <f t="shared" si="215"/>
        <v>271.30099999999999</v>
      </c>
      <c r="J317" s="160">
        <v>0</v>
      </c>
      <c r="K317" s="277">
        <f t="shared" ref="K317" si="231">K318+K319</f>
        <v>271.30099999999999</v>
      </c>
      <c r="L317" s="160"/>
      <c r="M317" s="160">
        <v>0</v>
      </c>
      <c r="N317" s="160">
        <v>0</v>
      </c>
      <c r="O317" s="160">
        <f t="shared" si="224"/>
        <v>25.838190476190476</v>
      </c>
      <c r="P317" s="127">
        <f t="shared" si="217"/>
        <v>185.065</v>
      </c>
      <c r="Q317" s="160">
        <v>0</v>
      </c>
      <c r="R317" s="160">
        <v>185.065</v>
      </c>
      <c r="S317" s="160">
        <v>0</v>
      </c>
      <c r="T317" s="160">
        <v>0</v>
      </c>
      <c r="U317" s="160">
        <v>0</v>
      </c>
    </row>
    <row r="318" spans="1:21" x14ac:dyDescent="0.25">
      <c r="A318" s="469"/>
      <c r="B318" s="149" t="s">
        <v>233</v>
      </c>
      <c r="C318" s="181">
        <f t="shared" si="222"/>
        <v>685</v>
      </c>
      <c r="D318" s="171">
        <v>0</v>
      </c>
      <c r="E318" s="160">
        <v>685</v>
      </c>
      <c r="F318" s="171">
        <v>0</v>
      </c>
      <c r="G318" s="171">
        <v>0</v>
      </c>
      <c r="H318" s="160">
        <v>0</v>
      </c>
      <c r="I318" s="127">
        <f t="shared" si="215"/>
        <v>210.339</v>
      </c>
      <c r="J318" s="160">
        <v>0</v>
      </c>
      <c r="K318" s="277">
        <v>210.339</v>
      </c>
      <c r="L318" s="160">
        <v>0</v>
      </c>
      <c r="M318" s="160">
        <v>0</v>
      </c>
      <c r="N318" s="160">
        <v>0</v>
      </c>
      <c r="O318" s="160">
        <f t="shared" si="224"/>
        <v>30.706423357664232</v>
      </c>
      <c r="P318" s="127">
        <f t="shared" si="217"/>
        <v>157.75399999999999</v>
      </c>
      <c r="Q318" s="160">
        <v>0</v>
      </c>
      <c r="R318" s="160">
        <v>157.75399999999999</v>
      </c>
      <c r="S318" s="160">
        <v>0</v>
      </c>
      <c r="T318" s="160"/>
      <c r="U318" s="160">
        <v>0</v>
      </c>
    </row>
    <row r="319" spans="1:21" x14ac:dyDescent="0.25">
      <c r="A319" s="469"/>
      <c r="B319" s="149" t="s">
        <v>234</v>
      </c>
      <c r="C319" s="181">
        <f t="shared" si="222"/>
        <v>365</v>
      </c>
      <c r="D319" s="171">
        <v>0</v>
      </c>
      <c r="E319" s="160">
        <v>180</v>
      </c>
      <c r="F319" s="171">
        <v>0</v>
      </c>
      <c r="G319" s="171">
        <v>0</v>
      </c>
      <c r="H319" s="160">
        <v>185</v>
      </c>
      <c r="I319" s="127">
        <f t="shared" si="215"/>
        <v>60.962000000000003</v>
      </c>
      <c r="J319" s="160">
        <v>0</v>
      </c>
      <c r="K319" s="277">
        <v>60.962000000000003</v>
      </c>
      <c r="L319" s="160">
        <v>0</v>
      </c>
      <c r="M319" s="160">
        <v>0</v>
      </c>
      <c r="N319" s="160">
        <v>0</v>
      </c>
      <c r="O319" s="160">
        <f t="shared" si="224"/>
        <v>16.701917808219179</v>
      </c>
      <c r="P319" s="127">
        <f t="shared" si="217"/>
        <v>27.311</v>
      </c>
      <c r="Q319" s="160">
        <v>0</v>
      </c>
      <c r="R319" s="160">
        <v>27.311</v>
      </c>
      <c r="S319" s="160">
        <v>0</v>
      </c>
      <c r="T319" s="160">
        <v>0</v>
      </c>
      <c r="U319" s="160">
        <v>0</v>
      </c>
    </row>
    <row r="320" spans="1:21" x14ac:dyDescent="0.25">
      <c r="A320" s="469"/>
      <c r="B320" s="148" t="s">
        <v>235</v>
      </c>
      <c r="C320" s="181">
        <f t="shared" si="222"/>
        <v>3480</v>
      </c>
      <c r="D320" s="160">
        <f>SUM(D321:D322)</f>
        <v>3000</v>
      </c>
      <c r="E320" s="160">
        <f>SUM(E321:E322)</f>
        <v>330</v>
      </c>
      <c r="F320" s="171">
        <v>0</v>
      </c>
      <c r="G320" s="171">
        <v>0</v>
      </c>
      <c r="H320" s="160">
        <f>SUM(H321:H322)</f>
        <v>150</v>
      </c>
      <c r="I320" s="127">
        <f t="shared" si="215"/>
        <v>0</v>
      </c>
      <c r="J320" s="160">
        <v>0</v>
      </c>
      <c r="K320" s="160">
        <v>0</v>
      </c>
      <c r="L320" s="160">
        <v>0</v>
      </c>
      <c r="M320" s="160">
        <v>0</v>
      </c>
      <c r="N320" s="160">
        <v>0</v>
      </c>
      <c r="O320" s="160">
        <f t="shared" si="224"/>
        <v>0</v>
      </c>
      <c r="P320" s="127">
        <f t="shared" si="217"/>
        <v>0</v>
      </c>
      <c r="Q320" s="160">
        <v>0</v>
      </c>
      <c r="R320" s="160">
        <v>0</v>
      </c>
      <c r="S320" s="160">
        <v>0</v>
      </c>
      <c r="T320" s="160">
        <v>0</v>
      </c>
      <c r="U320" s="160">
        <v>0</v>
      </c>
    </row>
    <row r="321" spans="1:21" x14ac:dyDescent="0.25">
      <c r="A321" s="469"/>
      <c r="B321" s="149" t="s">
        <v>236</v>
      </c>
      <c r="C321" s="181">
        <f t="shared" si="222"/>
        <v>0</v>
      </c>
      <c r="D321" s="160">
        <v>0</v>
      </c>
      <c r="E321" s="160">
        <v>0</v>
      </c>
      <c r="F321" s="171">
        <v>0</v>
      </c>
      <c r="G321" s="171">
        <v>0</v>
      </c>
      <c r="H321" s="160"/>
      <c r="I321" s="127">
        <f t="shared" si="215"/>
        <v>0</v>
      </c>
      <c r="J321" s="160"/>
      <c r="K321" s="160">
        <v>0</v>
      </c>
      <c r="L321" s="160">
        <v>0</v>
      </c>
      <c r="M321" s="160">
        <v>0</v>
      </c>
      <c r="N321" s="160">
        <v>0</v>
      </c>
      <c r="O321" s="160" t="e">
        <f>(I321/C321)*100</f>
        <v>#DIV/0!</v>
      </c>
      <c r="P321" s="127">
        <f t="shared" si="217"/>
        <v>0</v>
      </c>
      <c r="Q321" s="160"/>
      <c r="R321" s="160">
        <v>0</v>
      </c>
      <c r="S321" s="160">
        <v>0</v>
      </c>
      <c r="T321" s="160">
        <v>0</v>
      </c>
      <c r="U321" s="160">
        <v>0</v>
      </c>
    </row>
    <row r="322" spans="1:21" x14ac:dyDescent="0.25">
      <c r="A322" s="469"/>
      <c r="B322" s="149" t="s">
        <v>237</v>
      </c>
      <c r="C322" s="181">
        <f t="shared" si="222"/>
        <v>3480</v>
      </c>
      <c r="D322" s="160">
        <v>3000</v>
      </c>
      <c r="E322" s="160">
        <v>330</v>
      </c>
      <c r="F322" s="171">
        <v>0</v>
      </c>
      <c r="G322" s="171">
        <v>0</v>
      </c>
      <c r="H322" s="160">
        <v>150</v>
      </c>
      <c r="I322" s="127">
        <f t="shared" si="215"/>
        <v>0</v>
      </c>
      <c r="J322" s="160">
        <v>0</v>
      </c>
      <c r="K322" s="160"/>
      <c r="L322" s="160"/>
      <c r="M322" s="160">
        <v>0</v>
      </c>
      <c r="N322" s="160">
        <v>0</v>
      </c>
      <c r="O322" s="160" t="e">
        <f t="shared" ref="O322" si="232">O324+O325</f>
        <v>#DIV/0!</v>
      </c>
      <c r="P322" s="127">
        <f t="shared" si="217"/>
        <v>0</v>
      </c>
      <c r="Q322" s="160">
        <v>0</v>
      </c>
      <c r="R322" s="160"/>
      <c r="S322" s="160">
        <v>0</v>
      </c>
      <c r="T322" s="160">
        <v>0</v>
      </c>
      <c r="U322" s="160">
        <v>0</v>
      </c>
    </row>
    <row r="323" spans="1:21" x14ac:dyDescent="0.25">
      <c r="A323" s="469"/>
      <c r="B323" s="148" t="s">
        <v>238</v>
      </c>
      <c r="C323" s="181">
        <f t="shared" si="222"/>
        <v>0</v>
      </c>
      <c r="D323" s="171">
        <v>0</v>
      </c>
      <c r="E323" s="171">
        <v>0</v>
      </c>
      <c r="F323" s="171">
        <v>0</v>
      </c>
      <c r="G323" s="171">
        <v>0</v>
      </c>
      <c r="H323" s="171">
        <v>0</v>
      </c>
      <c r="I323" s="127">
        <f t="shared" si="215"/>
        <v>0</v>
      </c>
      <c r="J323" s="160">
        <v>0</v>
      </c>
      <c r="K323" s="160">
        <v>0</v>
      </c>
      <c r="L323" s="160">
        <v>0</v>
      </c>
      <c r="M323" s="160">
        <v>0</v>
      </c>
      <c r="N323" s="160">
        <v>0</v>
      </c>
      <c r="O323" s="160" t="e">
        <f t="shared" ref="O323" si="233">O324+O325</f>
        <v>#DIV/0!</v>
      </c>
      <c r="P323" s="127">
        <f t="shared" si="217"/>
        <v>0</v>
      </c>
      <c r="Q323" s="160">
        <v>0</v>
      </c>
      <c r="R323" s="160">
        <v>0</v>
      </c>
      <c r="S323" s="160">
        <v>0</v>
      </c>
      <c r="T323" s="160">
        <v>0</v>
      </c>
      <c r="U323" s="160">
        <v>0</v>
      </c>
    </row>
    <row r="324" spans="1:21" x14ac:dyDescent="0.25">
      <c r="A324" s="469"/>
      <c r="B324" s="149" t="s">
        <v>239</v>
      </c>
      <c r="C324" s="181">
        <f t="shared" si="222"/>
        <v>0</v>
      </c>
      <c r="D324" s="171">
        <v>0</v>
      </c>
      <c r="E324" s="171">
        <v>0</v>
      </c>
      <c r="F324" s="171">
        <v>0</v>
      </c>
      <c r="G324" s="171">
        <v>0</v>
      </c>
      <c r="H324" s="171">
        <v>0</v>
      </c>
      <c r="I324" s="127">
        <f t="shared" si="215"/>
        <v>0</v>
      </c>
      <c r="J324" s="160"/>
      <c r="K324" s="160"/>
      <c r="L324" s="160"/>
      <c r="M324" s="160"/>
      <c r="N324" s="160">
        <v>0</v>
      </c>
      <c r="O324" s="160" t="e">
        <f t="shared" si="224"/>
        <v>#DIV/0!</v>
      </c>
      <c r="P324" s="127">
        <f t="shared" si="217"/>
        <v>0</v>
      </c>
      <c r="Q324" s="160"/>
      <c r="R324" s="160"/>
      <c r="S324" s="160"/>
      <c r="T324" s="160"/>
      <c r="U324" s="160">
        <v>0</v>
      </c>
    </row>
    <row r="325" spans="1:21" x14ac:dyDescent="0.25">
      <c r="A325" s="469"/>
      <c r="B325" s="150" t="s">
        <v>240</v>
      </c>
      <c r="C325" s="181">
        <f t="shared" si="222"/>
        <v>0</v>
      </c>
      <c r="D325" s="171">
        <v>0</v>
      </c>
      <c r="E325" s="171">
        <v>0</v>
      </c>
      <c r="F325" s="171">
        <v>0</v>
      </c>
      <c r="G325" s="171">
        <v>0</v>
      </c>
      <c r="H325" s="171">
        <v>0</v>
      </c>
      <c r="I325" s="127">
        <f t="shared" si="215"/>
        <v>0</v>
      </c>
      <c r="J325" s="160"/>
      <c r="K325" s="160">
        <v>0</v>
      </c>
      <c r="L325" s="160"/>
      <c r="M325" s="160"/>
      <c r="N325" s="160"/>
      <c r="O325" s="160" t="e">
        <f t="shared" si="224"/>
        <v>#DIV/0!</v>
      </c>
      <c r="P325" s="127">
        <f t="shared" si="217"/>
        <v>0</v>
      </c>
      <c r="Q325" s="160"/>
      <c r="R325" s="160">
        <v>0</v>
      </c>
      <c r="S325" s="160"/>
      <c r="T325" s="160"/>
      <c r="U325" s="160"/>
    </row>
    <row r="326" spans="1:21" x14ac:dyDescent="0.25">
      <c r="A326" s="469"/>
      <c r="B326" s="147" t="s">
        <v>241</v>
      </c>
      <c r="C326" s="470">
        <f t="shared" si="222"/>
        <v>179302</v>
      </c>
      <c r="D326" s="160">
        <f>D327+D329+D331+D333+D335</f>
        <v>12500</v>
      </c>
      <c r="E326" s="160">
        <f>E327+E329+E331+E333+E335</f>
        <v>123020</v>
      </c>
      <c r="F326" s="160">
        <f t="shared" ref="F326:G326" si="234">F327+F329+F331+F333+F335</f>
        <v>1602</v>
      </c>
      <c r="G326" s="160">
        <f t="shared" si="234"/>
        <v>500</v>
      </c>
      <c r="H326" s="160">
        <f>H327+H329+H331+H333+H335</f>
        <v>41680</v>
      </c>
      <c r="I326" s="127">
        <f t="shared" si="215"/>
        <v>154704.30499999999</v>
      </c>
      <c r="J326" s="160">
        <v>0</v>
      </c>
      <c r="K326" s="277">
        <f t="shared" ref="K326" si="235">K327+K329+K331+K333+K335</f>
        <v>118464.22</v>
      </c>
      <c r="L326" s="277">
        <f t="shared" ref="L326:N326" si="236">L327+L329+L331+L333+L335</f>
        <v>2370.085</v>
      </c>
      <c r="M326" s="160">
        <v>0</v>
      </c>
      <c r="N326" s="277">
        <f t="shared" si="236"/>
        <v>33870</v>
      </c>
      <c r="O326" s="160">
        <f t="shared" si="224"/>
        <v>86.281416269757159</v>
      </c>
      <c r="P326" s="127">
        <f t="shared" si="217"/>
        <v>154422.22</v>
      </c>
      <c r="Q326" s="160">
        <v>0</v>
      </c>
      <c r="R326" s="277">
        <v>118464.22</v>
      </c>
      <c r="S326" s="160">
        <v>2088</v>
      </c>
      <c r="T326" s="160">
        <v>0</v>
      </c>
      <c r="U326" s="160">
        <f>SUM(U328+U329)</f>
        <v>33870</v>
      </c>
    </row>
    <row r="327" spans="1:21" x14ac:dyDescent="0.25">
      <c r="A327" s="469"/>
      <c r="B327" s="148" t="s">
        <v>242</v>
      </c>
      <c r="C327" s="470">
        <f t="shared" si="222"/>
        <v>137340</v>
      </c>
      <c r="D327" s="171">
        <v>0</v>
      </c>
      <c r="E327" s="160">
        <f t="shared" ref="E327:H327" si="237">E328</f>
        <v>106820</v>
      </c>
      <c r="F327" s="160">
        <f t="shared" si="237"/>
        <v>0</v>
      </c>
      <c r="G327" s="160">
        <f t="shared" si="237"/>
        <v>0</v>
      </c>
      <c r="H327" s="160">
        <f t="shared" si="237"/>
        <v>30520</v>
      </c>
      <c r="I327" s="127">
        <f t="shared" si="215"/>
        <v>152310.22</v>
      </c>
      <c r="J327" s="160">
        <v>0</v>
      </c>
      <c r="K327" s="277">
        <f t="shared" ref="K327" si="238">K328</f>
        <v>118464.22</v>
      </c>
      <c r="L327" s="160">
        <v>0</v>
      </c>
      <c r="M327" s="160">
        <v>0</v>
      </c>
      <c r="N327" s="277">
        <f t="shared" ref="N327" si="239">N328</f>
        <v>33846</v>
      </c>
      <c r="O327" s="160">
        <f t="shared" si="224"/>
        <v>110.90011649919906</v>
      </c>
      <c r="P327" s="127">
        <f t="shared" si="217"/>
        <v>152310.22</v>
      </c>
      <c r="Q327" s="160">
        <v>0</v>
      </c>
      <c r="R327" s="277">
        <v>118464.22</v>
      </c>
      <c r="S327" s="160">
        <v>0</v>
      </c>
      <c r="T327" s="160">
        <v>0</v>
      </c>
      <c r="U327" s="160">
        <v>33846</v>
      </c>
    </row>
    <row r="328" spans="1:21" ht="31.5" x14ac:dyDescent="0.25">
      <c r="A328" s="469"/>
      <c r="B328" s="149" t="s">
        <v>243</v>
      </c>
      <c r="C328" s="470">
        <f t="shared" si="222"/>
        <v>137340</v>
      </c>
      <c r="D328" s="171">
        <v>0</v>
      </c>
      <c r="E328" s="277">
        <v>106820</v>
      </c>
      <c r="F328" s="277">
        <v>0</v>
      </c>
      <c r="G328" s="277">
        <v>0</v>
      </c>
      <c r="H328" s="277">
        <v>30520</v>
      </c>
      <c r="I328" s="127">
        <f t="shared" si="215"/>
        <v>152310.22</v>
      </c>
      <c r="J328" s="160"/>
      <c r="K328" s="277">
        <v>118464.22</v>
      </c>
      <c r="L328" s="160">
        <v>0</v>
      </c>
      <c r="M328" s="160">
        <v>0</v>
      </c>
      <c r="N328" s="277">
        <v>33846</v>
      </c>
      <c r="O328" s="160"/>
      <c r="P328" s="127">
        <f t="shared" si="217"/>
        <v>152310.22</v>
      </c>
      <c r="Q328" s="160"/>
      <c r="R328" s="277">
        <v>118464.22</v>
      </c>
      <c r="S328" s="160">
        <v>0</v>
      </c>
      <c r="T328" s="160">
        <v>0</v>
      </c>
      <c r="U328" s="160">
        <v>33846</v>
      </c>
    </row>
    <row r="329" spans="1:21" x14ac:dyDescent="0.25">
      <c r="A329" s="469"/>
      <c r="B329" s="148" t="s">
        <v>244</v>
      </c>
      <c r="C329" s="181">
        <f t="shared" si="222"/>
        <v>312</v>
      </c>
      <c r="D329" s="171">
        <v>0</v>
      </c>
      <c r="E329" s="160">
        <f t="shared" ref="E329:H331" si="240">E330</f>
        <v>0</v>
      </c>
      <c r="F329" s="160">
        <f t="shared" si="240"/>
        <v>152</v>
      </c>
      <c r="G329" s="160">
        <f t="shared" si="240"/>
        <v>0</v>
      </c>
      <c r="H329" s="160">
        <f t="shared" si="240"/>
        <v>160</v>
      </c>
      <c r="I329" s="127">
        <f t="shared" si="215"/>
        <v>176</v>
      </c>
      <c r="J329" s="160">
        <v>0</v>
      </c>
      <c r="K329" s="160">
        <v>0</v>
      </c>
      <c r="L329" s="160">
        <v>152</v>
      </c>
      <c r="M329" s="160">
        <v>0</v>
      </c>
      <c r="N329" s="160">
        <v>24</v>
      </c>
      <c r="O329" s="160"/>
      <c r="P329" s="127">
        <f t="shared" si="217"/>
        <v>112</v>
      </c>
      <c r="Q329" s="160">
        <v>0</v>
      </c>
      <c r="R329" s="160">
        <v>0</v>
      </c>
      <c r="S329" s="160">
        <v>88</v>
      </c>
      <c r="T329" s="160">
        <v>0</v>
      </c>
      <c r="U329" s="160">
        <v>24</v>
      </c>
    </row>
    <row r="330" spans="1:21" ht="31.5" x14ac:dyDescent="0.25">
      <c r="A330" s="469"/>
      <c r="B330" s="149" t="s">
        <v>245</v>
      </c>
      <c r="C330" s="181">
        <f t="shared" si="222"/>
        <v>312</v>
      </c>
      <c r="D330" s="171">
        <v>0</v>
      </c>
      <c r="E330" s="160">
        <v>0</v>
      </c>
      <c r="F330" s="160">
        <v>152</v>
      </c>
      <c r="G330" s="160"/>
      <c r="H330" s="160">
        <v>160</v>
      </c>
      <c r="I330" s="127">
        <f t="shared" ref="I330:I393" si="241">SUM(J330:N330)</f>
        <v>176</v>
      </c>
      <c r="J330" s="160">
        <v>0</v>
      </c>
      <c r="K330" s="160">
        <v>0</v>
      </c>
      <c r="L330" s="160">
        <v>152</v>
      </c>
      <c r="M330" s="160">
        <v>0</v>
      </c>
      <c r="N330" s="160">
        <v>24</v>
      </c>
      <c r="O330" s="160">
        <f t="shared" si="224"/>
        <v>56.410256410256409</v>
      </c>
      <c r="P330" s="127">
        <f t="shared" si="217"/>
        <v>112</v>
      </c>
      <c r="Q330" s="160">
        <v>0</v>
      </c>
      <c r="R330" s="160">
        <v>0</v>
      </c>
      <c r="S330" s="160">
        <v>88</v>
      </c>
      <c r="T330" s="160">
        <v>0</v>
      </c>
      <c r="U330" s="160">
        <v>24</v>
      </c>
    </row>
    <row r="331" spans="1:21" x14ac:dyDescent="0.25">
      <c r="A331" s="469"/>
      <c r="B331" s="148" t="s">
        <v>246</v>
      </c>
      <c r="C331" s="181">
        <f t="shared" si="222"/>
        <v>39150</v>
      </c>
      <c r="D331" s="160">
        <f>D332</f>
        <v>12500</v>
      </c>
      <c r="E331" s="160">
        <f t="shared" ref="E331:F331" si="242">E332</f>
        <v>16200</v>
      </c>
      <c r="F331" s="160">
        <f t="shared" si="242"/>
        <v>450</v>
      </c>
      <c r="G331" s="160">
        <f t="shared" si="240"/>
        <v>0</v>
      </c>
      <c r="H331" s="160">
        <f t="shared" si="240"/>
        <v>10000</v>
      </c>
      <c r="I331" s="127">
        <f t="shared" si="241"/>
        <v>0</v>
      </c>
      <c r="J331" s="160">
        <v>0</v>
      </c>
      <c r="K331" s="160">
        <v>0</v>
      </c>
      <c r="L331" s="160">
        <v>0</v>
      </c>
      <c r="M331" s="160">
        <v>0</v>
      </c>
      <c r="N331" s="160">
        <v>0</v>
      </c>
      <c r="O331" s="160">
        <f t="shared" si="224"/>
        <v>0</v>
      </c>
      <c r="P331" s="127">
        <f t="shared" si="217"/>
        <v>0</v>
      </c>
      <c r="Q331" s="160">
        <v>0</v>
      </c>
      <c r="R331" s="160">
        <v>0</v>
      </c>
      <c r="S331" s="160">
        <v>0</v>
      </c>
      <c r="T331" s="160">
        <v>0</v>
      </c>
      <c r="U331" s="160">
        <v>0</v>
      </c>
    </row>
    <row r="332" spans="1:21" ht="21.75" customHeight="1" x14ac:dyDescent="0.25">
      <c r="A332" s="469"/>
      <c r="B332" s="149" t="s">
        <v>247</v>
      </c>
      <c r="C332" s="181">
        <f t="shared" si="222"/>
        <v>39150</v>
      </c>
      <c r="D332" s="160">
        <v>12500</v>
      </c>
      <c r="E332" s="160">
        <v>16200</v>
      </c>
      <c r="F332" s="160">
        <v>450</v>
      </c>
      <c r="G332" s="160"/>
      <c r="H332" s="160">
        <v>10000</v>
      </c>
      <c r="I332" s="127">
        <f t="shared" si="241"/>
        <v>0</v>
      </c>
      <c r="J332" s="160"/>
      <c r="K332" s="160"/>
      <c r="L332" s="160"/>
      <c r="M332" s="160"/>
      <c r="N332" s="160"/>
      <c r="O332" s="160"/>
      <c r="P332" s="127">
        <f t="shared" si="217"/>
        <v>0</v>
      </c>
      <c r="Q332" s="160"/>
      <c r="R332" s="160"/>
      <c r="S332" s="160"/>
      <c r="T332" s="160"/>
      <c r="U332" s="160">
        <v>0</v>
      </c>
    </row>
    <row r="333" spans="1:21" x14ac:dyDescent="0.25">
      <c r="A333" s="469"/>
      <c r="B333" s="148" t="s">
        <v>248</v>
      </c>
      <c r="C333" s="181">
        <f t="shared" si="222"/>
        <v>2500</v>
      </c>
      <c r="D333" s="160">
        <f>D334</f>
        <v>0</v>
      </c>
      <c r="E333" s="160">
        <f t="shared" ref="E333:H333" si="243">E334</f>
        <v>0</v>
      </c>
      <c r="F333" s="160">
        <f t="shared" si="243"/>
        <v>1000</v>
      </c>
      <c r="G333" s="160">
        <f t="shared" si="243"/>
        <v>500</v>
      </c>
      <c r="H333" s="160">
        <f t="shared" si="243"/>
        <v>1000</v>
      </c>
      <c r="I333" s="127">
        <f t="shared" si="241"/>
        <v>2218.085</v>
      </c>
      <c r="J333" s="160">
        <v>0</v>
      </c>
      <c r="K333" s="160">
        <v>0</v>
      </c>
      <c r="L333" s="277">
        <v>2218.085</v>
      </c>
      <c r="M333" s="160">
        <v>0</v>
      </c>
      <c r="N333" s="160">
        <v>0</v>
      </c>
      <c r="O333" s="160"/>
      <c r="P333" s="127">
        <f t="shared" si="217"/>
        <v>2000</v>
      </c>
      <c r="Q333" s="160">
        <v>0</v>
      </c>
      <c r="R333" s="160">
        <v>0</v>
      </c>
      <c r="S333" s="160">
        <v>2000</v>
      </c>
      <c r="T333" s="160">
        <v>0</v>
      </c>
      <c r="U333" s="160">
        <v>0</v>
      </c>
    </row>
    <row r="334" spans="1:21" ht="31.5" customHeight="1" x14ac:dyDescent="0.25">
      <c r="A334" s="469"/>
      <c r="B334" s="149" t="s">
        <v>249</v>
      </c>
      <c r="C334" s="181">
        <f t="shared" si="222"/>
        <v>2500</v>
      </c>
      <c r="D334" s="160"/>
      <c r="E334" s="160"/>
      <c r="F334" s="160">
        <v>1000</v>
      </c>
      <c r="G334" s="160">
        <v>500</v>
      </c>
      <c r="H334" s="160">
        <v>1000</v>
      </c>
      <c r="I334" s="127">
        <f t="shared" si="241"/>
        <v>2218.085</v>
      </c>
      <c r="J334" s="160">
        <v>0</v>
      </c>
      <c r="K334" s="160">
        <v>0</v>
      </c>
      <c r="L334" s="277">
        <v>2218.085</v>
      </c>
      <c r="M334" s="160">
        <v>0</v>
      </c>
      <c r="N334" s="160">
        <v>0</v>
      </c>
      <c r="O334" s="160">
        <f t="shared" si="224"/>
        <v>88.723399999999998</v>
      </c>
      <c r="P334" s="127">
        <f t="shared" si="217"/>
        <v>2000</v>
      </c>
      <c r="Q334" s="160">
        <v>0</v>
      </c>
      <c r="R334" s="160">
        <v>0</v>
      </c>
      <c r="S334" s="160">
        <v>2000</v>
      </c>
      <c r="T334" s="160">
        <v>0</v>
      </c>
      <c r="U334" s="160">
        <v>0</v>
      </c>
    </row>
    <row r="335" spans="1:21" x14ac:dyDescent="0.25">
      <c r="A335" s="469"/>
      <c r="B335" s="148" t="s">
        <v>250</v>
      </c>
      <c r="C335" s="181">
        <f t="shared" si="222"/>
        <v>0</v>
      </c>
      <c r="D335" s="171">
        <v>0</v>
      </c>
      <c r="E335" s="171">
        <v>0</v>
      </c>
      <c r="F335" s="171">
        <v>0</v>
      </c>
      <c r="G335" s="171">
        <v>0</v>
      </c>
      <c r="H335" s="171">
        <v>0</v>
      </c>
      <c r="I335" s="127">
        <f t="shared" si="241"/>
        <v>0</v>
      </c>
      <c r="J335" s="160">
        <v>0</v>
      </c>
      <c r="K335" s="160">
        <v>0</v>
      </c>
      <c r="L335" s="160">
        <v>0</v>
      </c>
      <c r="M335" s="160">
        <v>0</v>
      </c>
      <c r="N335" s="160">
        <v>0</v>
      </c>
      <c r="O335" s="160"/>
      <c r="P335" s="127">
        <f t="shared" si="217"/>
        <v>0</v>
      </c>
      <c r="Q335" s="160">
        <v>0</v>
      </c>
      <c r="R335" s="160">
        <v>0</v>
      </c>
      <c r="S335" s="160">
        <v>0</v>
      </c>
      <c r="T335" s="160">
        <v>0</v>
      </c>
      <c r="U335" s="160">
        <v>0</v>
      </c>
    </row>
    <row r="336" spans="1:21" hidden="1" x14ac:dyDescent="0.25">
      <c r="A336" s="469"/>
      <c r="B336" s="149" t="s">
        <v>250</v>
      </c>
      <c r="C336" s="181">
        <f t="shared" si="222"/>
        <v>0</v>
      </c>
      <c r="D336" s="171">
        <v>0</v>
      </c>
      <c r="E336" s="171">
        <v>0</v>
      </c>
      <c r="F336" s="171">
        <v>0</v>
      </c>
      <c r="G336" s="171">
        <v>0</v>
      </c>
      <c r="H336" s="171">
        <v>0</v>
      </c>
      <c r="I336" s="127">
        <f t="shared" si="241"/>
        <v>0</v>
      </c>
      <c r="J336" s="160"/>
      <c r="K336" s="160"/>
      <c r="L336" s="160">
        <v>0</v>
      </c>
      <c r="M336" s="160"/>
      <c r="N336" s="160"/>
      <c r="O336" s="160"/>
      <c r="P336" s="127">
        <f t="shared" si="217"/>
        <v>0</v>
      </c>
      <c r="Q336" s="160"/>
      <c r="R336" s="160"/>
      <c r="S336" s="160">
        <v>0</v>
      </c>
      <c r="T336" s="160"/>
      <c r="U336" s="160"/>
    </row>
    <row r="337" spans="1:21" x14ac:dyDescent="0.25">
      <c r="A337" s="469"/>
      <c r="B337" s="156" t="s">
        <v>251</v>
      </c>
      <c r="C337" s="181">
        <f t="shared" si="222"/>
        <v>0</v>
      </c>
      <c r="D337" s="171">
        <v>0</v>
      </c>
      <c r="E337" s="171">
        <v>0</v>
      </c>
      <c r="F337" s="171">
        <v>0</v>
      </c>
      <c r="G337" s="171">
        <v>0</v>
      </c>
      <c r="H337" s="171">
        <v>0</v>
      </c>
      <c r="I337" s="127">
        <f t="shared" si="241"/>
        <v>0</v>
      </c>
      <c r="J337" s="160">
        <v>0</v>
      </c>
      <c r="K337" s="160">
        <v>0</v>
      </c>
      <c r="L337" s="160">
        <v>0</v>
      </c>
      <c r="M337" s="160">
        <v>0</v>
      </c>
      <c r="N337" s="160">
        <v>0</v>
      </c>
      <c r="O337" s="160"/>
      <c r="P337" s="127">
        <f t="shared" si="217"/>
        <v>0</v>
      </c>
      <c r="Q337" s="160">
        <v>0</v>
      </c>
      <c r="R337" s="160">
        <v>0</v>
      </c>
      <c r="S337" s="160">
        <v>0</v>
      </c>
      <c r="T337" s="160">
        <v>0</v>
      </c>
      <c r="U337" s="160">
        <v>0</v>
      </c>
    </row>
    <row r="338" spans="1:21" ht="31.5" x14ac:dyDescent="0.25">
      <c r="A338" s="469"/>
      <c r="B338" s="148" t="s">
        <v>252</v>
      </c>
      <c r="C338" s="181">
        <f t="shared" si="222"/>
        <v>0</v>
      </c>
      <c r="D338" s="171">
        <v>0</v>
      </c>
      <c r="E338" s="171">
        <v>0</v>
      </c>
      <c r="F338" s="171">
        <v>0</v>
      </c>
      <c r="G338" s="171">
        <v>0</v>
      </c>
      <c r="H338" s="171">
        <v>0</v>
      </c>
      <c r="I338" s="127">
        <f t="shared" si="241"/>
        <v>0</v>
      </c>
      <c r="J338" s="160">
        <v>0</v>
      </c>
      <c r="K338" s="160">
        <v>0</v>
      </c>
      <c r="L338" s="160">
        <v>0</v>
      </c>
      <c r="M338" s="160">
        <v>0</v>
      </c>
      <c r="N338" s="160">
        <v>0</v>
      </c>
      <c r="O338" s="160"/>
      <c r="P338" s="127">
        <f t="shared" si="217"/>
        <v>0</v>
      </c>
      <c r="Q338" s="160">
        <v>0</v>
      </c>
      <c r="R338" s="160">
        <v>0</v>
      </c>
      <c r="S338" s="160">
        <v>0</v>
      </c>
      <c r="T338" s="160">
        <v>0</v>
      </c>
      <c r="U338" s="160">
        <v>0</v>
      </c>
    </row>
    <row r="339" spans="1:21" ht="21.75" customHeight="1" x14ac:dyDescent="0.25">
      <c r="A339" s="469"/>
      <c r="B339" s="149" t="s">
        <v>230</v>
      </c>
      <c r="C339" s="181">
        <f t="shared" si="222"/>
        <v>0</v>
      </c>
      <c r="D339" s="171">
        <v>0</v>
      </c>
      <c r="E339" s="171">
        <v>0</v>
      </c>
      <c r="F339" s="171">
        <v>0</v>
      </c>
      <c r="G339" s="171">
        <v>0</v>
      </c>
      <c r="H339" s="171">
        <v>0</v>
      </c>
      <c r="I339" s="127">
        <f t="shared" si="241"/>
        <v>0</v>
      </c>
      <c r="J339" s="160"/>
      <c r="K339" s="160">
        <v>0</v>
      </c>
      <c r="L339" s="160"/>
      <c r="M339" s="160"/>
      <c r="N339" s="160">
        <v>0</v>
      </c>
      <c r="O339" s="160"/>
      <c r="P339" s="127">
        <f t="shared" si="217"/>
        <v>0</v>
      </c>
      <c r="Q339" s="160"/>
      <c r="R339" s="160">
        <v>0</v>
      </c>
      <c r="S339" s="160"/>
      <c r="T339" s="160"/>
      <c r="U339" s="160">
        <v>0</v>
      </c>
    </row>
    <row r="340" spans="1:21" ht="31.5" x14ac:dyDescent="0.25">
      <c r="A340" s="469"/>
      <c r="B340" s="148" t="s">
        <v>253</v>
      </c>
      <c r="C340" s="181">
        <f t="shared" si="222"/>
        <v>0</v>
      </c>
      <c r="D340" s="171">
        <v>0</v>
      </c>
      <c r="E340" s="171">
        <v>0</v>
      </c>
      <c r="F340" s="171">
        <v>0</v>
      </c>
      <c r="G340" s="171">
        <v>0</v>
      </c>
      <c r="H340" s="171">
        <v>0</v>
      </c>
      <c r="I340" s="127">
        <f t="shared" si="241"/>
        <v>0</v>
      </c>
      <c r="J340" s="160">
        <v>0</v>
      </c>
      <c r="K340" s="160">
        <v>0</v>
      </c>
      <c r="L340" s="160">
        <v>0</v>
      </c>
      <c r="M340" s="160">
        <v>0</v>
      </c>
      <c r="N340" s="160">
        <v>0</v>
      </c>
      <c r="O340" s="160"/>
      <c r="P340" s="127">
        <f t="shared" si="217"/>
        <v>0</v>
      </c>
      <c r="Q340" s="160">
        <v>0</v>
      </c>
      <c r="R340" s="160">
        <v>0</v>
      </c>
      <c r="S340" s="160">
        <v>0</v>
      </c>
      <c r="T340" s="160">
        <v>0</v>
      </c>
      <c r="U340" s="160">
        <v>0</v>
      </c>
    </row>
    <row r="341" spans="1:21" ht="48" customHeight="1" x14ac:dyDescent="0.25">
      <c r="A341" s="469"/>
      <c r="B341" s="149" t="s">
        <v>254</v>
      </c>
      <c r="C341" s="181">
        <f t="shared" si="222"/>
        <v>0</v>
      </c>
      <c r="D341" s="171">
        <v>0</v>
      </c>
      <c r="E341" s="171">
        <v>0</v>
      </c>
      <c r="F341" s="171">
        <v>0</v>
      </c>
      <c r="G341" s="171">
        <v>0</v>
      </c>
      <c r="H341" s="171">
        <v>0</v>
      </c>
      <c r="I341" s="127">
        <f t="shared" si="241"/>
        <v>0</v>
      </c>
      <c r="J341" s="160"/>
      <c r="K341" s="160"/>
      <c r="L341" s="160"/>
      <c r="M341" s="160"/>
      <c r="N341" s="160"/>
      <c r="O341" s="160"/>
      <c r="P341" s="127">
        <f t="shared" si="217"/>
        <v>0</v>
      </c>
      <c r="Q341" s="160"/>
      <c r="R341" s="160"/>
      <c r="S341" s="160"/>
      <c r="T341" s="160"/>
      <c r="U341" s="160"/>
    </row>
    <row r="342" spans="1:21" x14ac:dyDescent="0.25">
      <c r="A342" s="469"/>
      <c r="B342" s="156" t="s">
        <v>255</v>
      </c>
      <c r="C342" s="181">
        <f>SUM(D342:H342)</f>
        <v>3305</v>
      </c>
      <c r="D342" s="160">
        <f>D343+D348+D350+D352</f>
        <v>50</v>
      </c>
      <c r="E342" s="160">
        <f t="shared" ref="E342:H342" si="244">E343+E348+E350+E352</f>
        <v>2855</v>
      </c>
      <c r="F342" s="160">
        <f t="shared" si="244"/>
        <v>400</v>
      </c>
      <c r="G342" s="171">
        <v>0</v>
      </c>
      <c r="H342" s="160">
        <f t="shared" si="244"/>
        <v>0</v>
      </c>
      <c r="I342" s="127">
        <f t="shared" si="241"/>
        <v>514.53</v>
      </c>
      <c r="J342" s="160">
        <v>0</v>
      </c>
      <c r="K342" s="277">
        <f t="shared" ref="K342" si="245">K343+K348+K350+K352</f>
        <v>34.53</v>
      </c>
      <c r="L342" s="160">
        <v>480</v>
      </c>
      <c r="M342" s="160">
        <v>0</v>
      </c>
      <c r="N342" s="160">
        <v>0</v>
      </c>
      <c r="O342" s="160"/>
      <c r="P342" s="127">
        <f t="shared" si="217"/>
        <v>480</v>
      </c>
      <c r="Q342" s="160">
        <v>0</v>
      </c>
      <c r="R342" s="160">
        <v>0</v>
      </c>
      <c r="S342" s="160">
        <v>480</v>
      </c>
      <c r="T342" s="160">
        <v>0</v>
      </c>
      <c r="U342" s="160">
        <v>0</v>
      </c>
    </row>
    <row r="343" spans="1:21" x14ac:dyDescent="0.25">
      <c r="A343" s="469"/>
      <c r="B343" s="148" t="s">
        <v>256</v>
      </c>
      <c r="C343" s="181">
        <f t="shared" si="222"/>
        <v>1105</v>
      </c>
      <c r="D343" s="160">
        <f>D344+D345+D346+D347</f>
        <v>50</v>
      </c>
      <c r="E343" s="160">
        <f t="shared" ref="E343" si="246">E344+E345+E346+E347</f>
        <v>1055</v>
      </c>
      <c r="F343" s="171">
        <v>0</v>
      </c>
      <c r="G343" s="171">
        <v>0</v>
      </c>
      <c r="H343" s="160">
        <f t="shared" ref="H343" si="247">H344+H345+H346+H347</f>
        <v>0</v>
      </c>
      <c r="I343" s="127">
        <f t="shared" si="241"/>
        <v>34.53</v>
      </c>
      <c r="J343" s="160">
        <v>0</v>
      </c>
      <c r="K343" s="277">
        <f t="shared" ref="K343" si="248">K344+K345+K346+K347</f>
        <v>34.53</v>
      </c>
      <c r="L343" s="160">
        <v>0</v>
      </c>
      <c r="M343" s="160">
        <v>0</v>
      </c>
      <c r="N343" s="160">
        <v>0</v>
      </c>
      <c r="O343" s="160"/>
      <c r="P343" s="127">
        <f t="shared" si="217"/>
        <v>0</v>
      </c>
      <c r="Q343" s="160">
        <v>0</v>
      </c>
      <c r="R343" s="160">
        <v>0</v>
      </c>
      <c r="S343" s="160">
        <v>0</v>
      </c>
      <c r="T343" s="160">
        <v>0</v>
      </c>
      <c r="U343" s="160">
        <v>0</v>
      </c>
    </row>
    <row r="344" spans="1:21" ht="19.5" customHeight="1" x14ac:dyDescent="0.25">
      <c r="A344" s="469"/>
      <c r="B344" s="149" t="s">
        <v>257</v>
      </c>
      <c r="C344" s="181">
        <f t="shared" si="222"/>
        <v>1000</v>
      </c>
      <c r="D344" s="171">
        <v>0</v>
      </c>
      <c r="E344" s="160">
        <v>1000</v>
      </c>
      <c r="F344" s="171">
        <v>0</v>
      </c>
      <c r="G344" s="171">
        <v>0</v>
      </c>
      <c r="H344" s="171">
        <v>0</v>
      </c>
      <c r="I344" s="127">
        <f t="shared" si="241"/>
        <v>34.53</v>
      </c>
      <c r="J344" s="160"/>
      <c r="K344" s="277">
        <v>34.53</v>
      </c>
      <c r="L344" s="160"/>
      <c r="M344" s="160"/>
      <c r="N344" s="160"/>
      <c r="O344" s="160"/>
      <c r="P344" s="127">
        <f t="shared" si="217"/>
        <v>0</v>
      </c>
      <c r="Q344" s="160"/>
      <c r="R344" s="160"/>
      <c r="S344" s="160"/>
      <c r="T344" s="160"/>
      <c r="U344" s="160"/>
    </row>
    <row r="345" spans="1:21" ht="18" customHeight="1" x14ac:dyDescent="0.25">
      <c r="A345" s="469"/>
      <c r="B345" s="149" t="s">
        <v>258</v>
      </c>
      <c r="C345" s="181">
        <f>SUM(D345:H345)</f>
        <v>105</v>
      </c>
      <c r="D345" s="160">
        <v>50</v>
      </c>
      <c r="E345" s="160">
        <v>55</v>
      </c>
      <c r="F345" s="171">
        <v>0</v>
      </c>
      <c r="G345" s="171">
        <v>0</v>
      </c>
      <c r="H345" s="171"/>
      <c r="I345" s="127">
        <f t="shared" si="241"/>
        <v>0</v>
      </c>
      <c r="J345" s="160"/>
      <c r="K345" s="160"/>
      <c r="L345" s="160"/>
      <c r="M345" s="160"/>
      <c r="N345" s="160">
        <v>0</v>
      </c>
      <c r="O345" s="160"/>
      <c r="P345" s="127">
        <f t="shared" si="217"/>
        <v>0</v>
      </c>
      <c r="Q345" s="160"/>
      <c r="R345" s="160"/>
      <c r="S345" s="160"/>
      <c r="T345" s="160"/>
      <c r="U345" s="160">
        <v>0</v>
      </c>
    </row>
    <row r="346" spans="1:21" ht="18" customHeight="1" x14ac:dyDescent="0.25">
      <c r="A346" s="469"/>
      <c r="B346" s="149" t="s">
        <v>259</v>
      </c>
      <c r="C346" s="181">
        <f t="shared" si="222"/>
        <v>0</v>
      </c>
      <c r="D346" s="171">
        <v>0</v>
      </c>
      <c r="E346" s="171">
        <v>0</v>
      </c>
      <c r="F346" s="171">
        <v>0</v>
      </c>
      <c r="G346" s="171">
        <v>0</v>
      </c>
      <c r="H346" s="171">
        <v>0</v>
      </c>
      <c r="I346" s="127">
        <f t="shared" si="241"/>
        <v>0</v>
      </c>
      <c r="J346" s="160"/>
      <c r="K346" s="160"/>
      <c r="L346" s="160"/>
      <c r="M346" s="160"/>
      <c r="N346" s="160">
        <v>0</v>
      </c>
      <c r="O346" s="160"/>
      <c r="P346" s="127">
        <f t="shared" si="217"/>
        <v>0</v>
      </c>
      <c r="Q346" s="160"/>
      <c r="R346" s="160"/>
      <c r="S346" s="160"/>
      <c r="T346" s="160"/>
      <c r="U346" s="160">
        <v>0</v>
      </c>
    </row>
    <row r="347" spans="1:21" ht="20.25" customHeight="1" x14ac:dyDescent="0.25">
      <c r="A347" s="469"/>
      <c r="B347" s="149" t="s">
        <v>260</v>
      </c>
      <c r="C347" s="181">
        <f t="shared" si="222"/>
        <v>0</v>
      </c>
      <c r="D347" s="171">
        <v>0</v>
      </c>
      <c r="E347" s="171">
        <v>0</v>
      </c>
      <c r="F347" s="171">
        <v>0</v>
      </c>
      <c r="G347" s="171">
        <v>0</v>
      </c>
      <c r="H347" s="171">
        <v>0</v>
      </c>
      <c r="I347" s="127">
        <f t="shared" si="241"/>
        <v>0</v>
      </c>
      <c r="J347" s="160"/>
      <c r="K347" s="160">
        <v>0</v>
      </c>
      <c r="L347" s="160"/>
      <c r="M347" s="160"/>
      <c r="N347" s="160">
        <v>0</v>
      </c>
      <c r="O347" s="160"/>
      <c r="P347" s="127">
        <f t="shared" si="217"/>
        <v>0</v>
      </c>
      <c r="Q347" s="160"/>
      <c r="R347" s="160">
        <v>0</v>
      </c>
      <c r="S347" s="160"/>
      <c r="T347" s="160"/>
      <c r="U347" s="160">
        <v>0</v>
      </c>
    </row>
    <row r="348" spans="1:21" ht="31.5" x14ac:dyDescent="0.25">
      <c r="A348" s="469"/>
      <c r="B348" s="148" t="s">
        <v>261</v>
      </c>
      <c r="C348" s="181">
        <f t="shared" si="222"/>
        <v>0</v>
      </c>
      <c r="D348" s="171">
        <v>0</v>
      </c>
      <c r="E348" s="171">
        <v>0</v>
      </c>
      <c r="F348" s="171">
        <v>0</v>
      </c>
      <c r="G348" s="171">
        <v>0</v>
      </c>
      <c r="H348" s="171">
        <v>0</v>
      </c>
      <c r="I348" s="127">
        <f t="shared" si="241"/>
        <v>0</v>
      </c>
      <c r="J348" s="160">
        <v>0</v>
      </c>
      <c r="K348" s="160">
        <v>0</v>
      </c>
      <c r="L348" s="160">
        <v>0</v>
      </c>
      <c r="M348" s="160">
        <v>0</v>
      </c>
      <c r="N348" s="160">
        <v>0</v>
      </c>
      <c r="O348" s="160"/>
      <c r="P348" s="127">
        <f t="shared" si="217"/>
        <v>0</v>
      </c>
      <c r="Q348" s="160">
        <v>0</v>
      </c>
      <c r="R348" s="160">
        <v>0</v>
      </c>
      <c r="S348" s="160">
        <v>0</v>
      </c>
      <c r="T348" s="160">
        <v>0</v>
      </c>
      <c r="U348" s="160">
        <v>0</v>
      </c>
    </row>
    <row r="349" spans="1:21" ht="31.5" x14ac:dyDescent="0.25">
      <c r="A349" s="469"/>
      <c r="B349" s="149" t="s">
        <v>262</v>
      </c>
      <c r="C349" s="181">
        <f t="shared" si="222"/>
        <v>0</v>
      </c>
      <c r="D349" s="171">
        <v>0</v>
      </c>
      <c r="E349" s="171">
        <v>0</v>
      </c>
      <c r="F349" s="171">
        <v>0</v>
      </c>
      <c r="G349" s="171">
        <v>0</v>
      </c>
      <c r="H349" s="171">
        <v>0</v>
      </c>
      <c r="I349" s="127">
        <f t="shared" si="241"/>
        <v>0</v>
      </c>
      <c r="J349" s="160"/>
      <c r="K349" s="160">
        <v>0</v>
      </c>
      <c r="L349" s="160"/>
      <c r="M349" s="160"/>
      <c r="N349" s="160">
        <v>0</v>
      </c>
      <c r="O349" s="160"/>
      <c r="P349" s="127">
        <f t="shared" si="217"/>
        <v>0</v>
      </c>
      <c r="Q349" s="160"/>
      <c r="R349" s="160">
        <v>0</v>
      </c>
      <c r="S349" s="160"/>
      <c r="T349" s="160"/>
      <c r="U349" s="160">
        <v>0</v>
      </c>
    </row>
    <row r="350" spans="1:21" ht="18.75" customHeight="1" x14ac:dyDescent="0.25">
      <c r="A350" s="469"/>
      <c r="B350" s="148" t="s">
        <v>263</v>
      </c>
      <c r="C350" s="181">
        <f t="shared" si="222"/>
        <v>1000</v>
      </c>
      <c r="D350" s="171">
        <v>0</v>
      </c>
      <c r="E350" s="160">
        <f t="shared" ref="E350" si="249">E351</f>
        <v>1000</v>
      </c>
      <c r="F350" s="171">
        <v>0</v>
      </c>
      <c r="G350" s="171">
        <v>0</v>
      </c>
      <c r="H350" s="171">
        <v>0</v>
      </c>
      <c r="I350" s="127">
        <f t="shared" si="241"/>
        <v>0</v>
      </c>
      <c r="J350" s="160">
        <v>0</v>
      </c>
      <c r="K350" s="160">
        <v>0</v>
      </c>
      <c r="L350" s="160">
        <v>0</v>
      </c>
      <c r="M350" s="160">
        <v>0</v>
      </c>
      <c r="N350" s="160">
        <v>0</v>
      </c>
      <c r="O350" s="160"/>
      <c r="P350" s="127">
        <f t="shared" si="217"/>
        <v>0</v>
      </c>
      <c r="Q350" s="160">
        <v>0</v>
      </c>
      <c r="R350" s="160">
        <v>0</v>
      </c>
      <c r="S350" s="160">
        <v>0</v>
      </c>
      <c r="T350" s="160">
        <v>0</v>
      </c>
      <c r="U350" s="160">
        <v>0</v>
      </c>
    </row>
    <row r="351" spans="1:21" ht="31.5" x14ac:dyDescent="0.25">
      <c r="A351" s="469"/>
      <c r="B351" s="149" t="s">
        <v>264</v>
      </c>
      <c r="C351" s="181">
        <f t="shared" si="222"/>
        <v>1000</v>
      </c>
      <c r="D351" s="171">
        <v>0</v>
      </c>
      <c r="E351" s="160">
        <v>1000</v>
      </c>
      <c r="F351" s="171">
        <v>0</v>
      </c>
      <c r="G351" s="171">
        <v>0</v>
      </c>
      <c r="H351" s="171">
        <v>0</v>
      </c>
      <c r="I351" s="127">
        <f t="shared" si="241"/>
        <v>0</v>
      </c>
      <c r="J351" s="160"/>
      <c r="K351" s="160"/>
      <c r="L351" s="160"/>
      <c r="M351" s="160"/>
      <c r="N351" s="160"/>
      <c r="O351" s="160"/>
      <c r="P351" s="127">
        <f t="shared" si="217"/>
        <v>0</v>
      </c>
      <c r="Q351" s="160"/>
      <c r="R351" s="160"/>
      <c r="S351" s="160"/>
      <c r="T351" s="160"/>
      <c r="U351" s="160"/>
    </row>
    <row r="352" spans="1:21" x14ac:dyDescent="0.25">
      <c r="A352" s="469"/>
      <c r="B352" s="148" t="s">
        <v>265</v>
      </c>
      <c r="C352" s="181">
        <f t="shared" si="222"/>
        <v>1200</v>
      </c>
      <c r="D352" s="171">
        <v>0</v>
      </c>
      <c r="E352" s="160">
        <f t="shared" ref="E352:F352" si="250">E353</f>
        <v>800</v>
      </c>
      <c r="F352" s="160">
        <f t="shared" si="250"/>
        <v>400</v>
      </c>
      <c r="G352" s="171">
        <v>0</v>
      </c>
      <c r="H352" s="171">
        <v>0</v>
      </c>
      <c r="I352" s="127">
        <f t="shared" si="241"/>
        <v>480</v>
      </c>
      <c r="J352" s="160">
        <v>0</v>
      </c>
      <c r="K352" s="160">
        <v>0</v>
      </c>
      <c r="L352" s="160">
        <v>480</v>
      </c>
      <c r="M352" s="160">
        <v>0</v>
      </c>
      <c r="N352" s="160">
        <v>0</v>
      </c>
      <c r="O352" s="160"/>
      <c r="P352" s="127">
        <f t="shared" ref="P352:P412" si="251">SUM(Q352:U352)</f>
        <v>480</v>
      </c>
      <c r="Q352" s="160">
        <v>0</v>
      </c>
      <c r="R352" s="160">
        <v>0</v>
      </c>
      <c r="S352" s="160">
        <v>480</v>
      </c>
      <c r="T352" s="160">
        <v>0</v>
      </c>
      <c r="U352" s="160">
        <v>0</v>
      </c>
    </row>
    <row r="353" spans="1:21" ht="31.5" x14ac:dyDescent="0.25">
      <c r="A353" s="469"/>
      <c r="B353" s="149" t="s">
        <v>266</v>
      </c>
      <c r="C353" s="181">
        <f t="shared" si="222"/>
        <v>1200</v>
      </c>
      <c r="D353" s="171">
        <v>0</v>
      </c>
      <c r="E353" s="160">
        <v>800</v>
      </c>
      <c r="F353" s="160">
        <v>400</v>
      </c>
      <c r="G353" s="171">
        <v>0</v>
      </c>
      <c r="H353" s="171">
        <v>0</v>
      </c>
      <c r="I353" s="127">
        <f t="shared" si="241"/>
        <v>480</v>
      </c>
      <c r="J353" s="160">
        <v>0</v>
      </c>
      <c r="K353" s="160">
        <v>0</v>
      </c>
      <c r="L353" s="160">
        <v>480</v>
      </c>
      <c r="M353" s="160">
        <v>0</v>
      </c>
      <c r="N353" s="160">
        <v>0</v>
      </c>
      <c r="O353" s="160"/>
      <c r="P353" s="127">
        <f t="shared" si="251"/>
        <v>480</v>
      </c>
      <c r="Q353" s="160">
        <v>0</v>
      </c>
      <c r="R353" s="160">
        <v>0</v>
      </c>
      <c r="S353" s="160">
        <v>480</v>
      </c>
      <c r="T353" s="160">
        <v>0</v>
      </c>
      <c r="U353" s="160">
        <v>0</v>
      </c>
    </row>
    <row r="354" spans="1:21" x14ac:dyDescent="0.25">
      <c r="A354" s="469"/>
      <c r="B354" s="147" t="s">
        <v>267</v>
      </c>
      <c r="C354" s="181">
        <f>SUM(D354:H354)</f>
        <v>92637.3</v>
      </c>
      <c r="D354" s="160">
        <f>D355+D357+D358</f>
        <v>37477.300000000003</v>
      </c>
      <c r="E354" s="160">
        <f t="shared" ref="E354:H354" si="252">E355+E357+E358</f>
        <v>36238</v>
      </c>
      <c r="F354" s="160">
        <f t="shared" si="252"/>
        <v>900</v>
      </c>
      <c r="G354" s="160">
        <f t="shared" si="252"/>
        <v>2000</v>
      </c>
      <c r="H354" s="160">
        <f t="shared" si="252"/>
        <v>16022</v>
      </c>
      <c r="I354" s="127">
        <f t="shared" si="241"/>
        <v>0</v>
      </c>
      <c r="J354" s="160">
        <v>0</v>
      </c>
      <c r="K354" s="160">
        <v>0</v>
      </c>
      <c r="L354" s="160">
        <v>0</v>
      </c>
      <c r="M354" s="160">
        <v>0</v>
      </c>
      <c r="N354" s="160">
        <v>0</v>
      </c>
      <c r="O354" s="160"/>
      <c r="P354" s="127">
        <f t="shared" si="251"/>
        <v>0</v>
      </c>
      <c r="Q354" s="160">
        <v>0</v>
      </c>
      <c r="R354" s="160">
        <v>0</v>
      </c>
      <c r="S354" s="160">
        <v>0</v>
      </c>
      <c r="T354" s="160">
        <v>0</v>
      </c>
      <c r="U354" s="160">
        <v>0</v>
      </c>
    </row>
    <row r="355" spans="1:21" ht="31.5" x14ac:dyDescent="0.25">
      <c r="A355" s="469"/>
      <c r="B355" s="151" t="s">
        <v>268</v>
      </c>
      <c r="C355" s="181">
        <f t="shared" si="222"/>
        <v>38634</v>
      </c>
      <c r="D355" s="160">
        <f>D356</f>
        <v>14816</v>
      </c>
      <c r="E355" s="160">
        <f t="shared" ref="E355:H355" si="253">E356</f>
        <v>10296</v>
      </c>
      <c r="F355" s="171">
        <v>0</v>
      </c>
      <c r="G355" s="171">
        <v>0</v>
      </c>
      <c r="H355" s="160">
        <f t="shared" si="253"/>
        <v>13522</v>
      </c>
      <c r="I355" s="127">
        <f t="shared" si="241"/>
        <v>0</v>
      </c>
      <c r="J355" s="160">
        <v>0</v>
      </c>
      <c r="K355" s="160">
        <v>0</v>
      </c>
      <c r="L355" s="160">
        <v>0</v>
      </c>
      <c r="M355" s="160">
        <v>0</v>
      </c>
      <c r="N355" s="160">
        <v>0</v>
      </c>
      <c r="O355" s="160"/>
      <c r="P355" s="127">
        <f t="shared" si="251"/>
        <v>0</v>
      </c>
      <c r="Q355" s="160">
        <v>0</v>
      </c>
      <c r="R355" s="160">
        <v>0</v>
      </c>
      <c r="S355" s="160">
        <v>0</v>
      </c>
      <c r="T355" s="160">
        <v>0</v>
      </c>
      <c r="U355" s="160">
        <v>0</v>
      </c>
    </row>
    <row r="356" spans="1:21" ht="47.25" x14ac:dyDescent="0.25">
      <c r="A356" s="469"/>
      <c r="B356" s="149" t="s">
        <v>1029</v>
      </c>
      <c r="C356" s="181">
        <f t="shared" si="222"/>
        <v>38634</v>
      </c>
      <c r="D356" s="160">
        <v>14816</v>
      </c>
      <c r="E356" s="160">
        <v>10296</v>
      </c>
      <c r="F356" s="171">
        <v>0</v>
      </c>
      <c r="G356" s="171">
        <v>0</v>
      </c>
      <c r="H356" s="160">
        <v>13522</v>
      </c>
      <c r="I356" s="127">
        <f t="shared" si="241"/>
        <v>0</v>
      </c>
      <c r="J356" s="160"/>
      <c r="K356" s="160"/>
      <c r="L356" s="160"/>
      <c r="M356" s="160"/>
      <c r="N356" s="160"/>
      <c r="O356" s="160"/>
      <c r="P356" s="127">
        <f t="shared" si="251"/>
        <v>0</v>
      </c>
      <c r="Q356" s="160"/>
      <c r="R356" s="160"/>
      <c r="S356" s="160"/>
      <c r="T356" s="160"/>
      <c r="U356" s="160"/>
    </row>
    <row r="357" spans="1:21" x14ac:dyDescent="0.25">
      <c r="A357" s="469"/>
      <c r="B357" s="149" t="s">
        <v>270</v>
      </c>
      <c r="C357" s="181">
        <f t="shared" si="222"/>
        <v>46903.3</v>
      </c>
      <c r="D357" s="160">
        <v>21261.3</v>
      </c>
      <c r="E357" s="160">
        <v>24242</v>
      </c>
      <c r="F357" s="160">
        <v>400</v>
      </c>
      <c r="G357" s="160">
        <v>1000</v>
      </c>
      <c r="H357" s="160"/>
      <c r="I357" s="127">
        <f t="shared" si="241"/>
        <v>0</v>
      </c>
      <c r="J357" s="160"/>
      <c r="K357" s="160"/>
      <c r="L357" s="160"/>
      <c r="M357" s="160"/>
      <c r="N357" s="160"/>
      <c r="O357" s="160"/>
      <c r="P357" s="127">
        <f t="shared" si="251"/>
        <v>0</v>
      </c>
      <c r="Q357" s="160"/>
      <c r="R357" s="160"/>
      <c r="S357" s="160"/>
      <c r="T357" s="160"/>
      <c r="U357" s="160"/>
    </row>
    <row r="358" spans="1:21" x14ac:dyDescent="0.25">
      <c r="A358" s="469"/>
      <c r="B358" s="149" t="s">
        <v>271</v>
      </c>
      <c r="C358" s="181">
        <f t="shared" ref="C358:C399" si="254">SUM(D358:H358)</f>
        <v>7100</v>
      </c>
      <c r="D358" s="160">
        <v>1400</v>
      </c>
      <c r="E358" s="160">
        <v>1700</v>
      </c>
      <c r="F358" s="160">
        <v>500</v>
      </c>
      <c r="G358" s="160">
        <v>1000</v>
      </c>
      <c r="H358" s="160">
        <v>2500</v>
      </c>
      <c r="I358" s="127">
        <f t="shared" si="241"/>
        <v>0</v>
      </c>
      <c r="J358" s="160"/>
      <c r="K358" s="160"/>
      <c r="L358" s="160"/>
      <c r="M358" s="160"/>
      <c r="N358" s="160"/>
      <c r="O358" s="160"/>
      <c r="P358" s="127">
        <f t="shared" si="251"/>
        <v>0</v>
      </c>
      <c r="Q358" s="160"/>
      <c r="R358" s="160"/>
      <c r="S358" s="160"/>
      <c r="T358" s="160"/>
      <c r="U358" s="160"/>
    </row>
    <row r="359" spans="1:21" x14ac:dyDescent="0.25">
      <c r="A359" s="469"/>
      <c r="B359" s="156" t="s">
        <v>272</v>
      </c>
      <c r="C359" s="181">
        <f t="shared" si="254"/>
        <v>2000</v>
      </c>
      <c r="D359" s="160">
        <f>D360</f>
        <v>900</v>
      </c>
      <c r="E359" s="160">
        <f t="shared" ref="E359" si="255">E360</f>
        <v>1100</v>
      </c>
      <c r="F359" s="171">
        <v>0</v>
      </c>
      <c r="G359" s="171">
        <v>0</v>
      </c>
      <c r="H359" s="171">
        <v>0</v>
      </c>
      <c r="I359" s="127">
        <f t="shared" si="241"/>
        <v>0</v>
      </c>
      <c r="J359" s="160">
        <v>0</v>
      </c>
      <c r="K359" s="160">
        <v>0</v>
      </c>
      <c r="L359" s="160">
        <v>0</v>
      </c>
      <c r="M359" s="160">
        <v>0</v>
      </c>
      <c r="N359" s="160">
        <v>0</v>
      </c>
      <c r="O359" s="160"/>
      <c r="P359" s="127">
        <f t="shared" si="251"/>
        <v>0</v>
      </c>
      <c r="Q359" s="160">
        <v>0</v>
      </c>
      <c r="R359" s="160">
        <v>0</v>
      </c>
      <c r="S359" s="160">
        <v>0</v>
      </c>
      <c r="T359" s="160">
        <v>0</v>
      </c>
      <c r="U359" s="160">
        <v>0</v>
      </c>
    </row>
    <row r="360" spans="1:21" ht="31.5" x14ac:dyDescent="0.25">
      <c r="A360" s="469"/>
      <c r="B360" s="148" t="s">
        <v>273</v>
      </c>
      <c r="C360" s="181">
        <f t="shared" si="254"/>
        <v>2000</v>
      </c>
      <c r="D360" s="160">
        <f>D361+D362</f>
        <v>900</v>
      </c>
      <c r="E360" s="160">
        <f t="shared" ref="E360" si="256">E361+E362</f>
        <v>1100</v>
      </c>
      <c r="F360" s="171">
        <v>0</v>
      </c>
      <c r="G360" s="171">
        <v>0</v>
      </c>
      <c r="H360" s="171">
        <v>0</v>
      </c>
      <c r="I360" s="127">
        <f t="shared" si="241"/>
        <v>0</v>
      </c>
      <c r="J360" s="160">
        <v>0</v>
      </c>
      <c r="K360" s="160">
        <v>0</v>
      </c>
      <c r="L360" s="160">
        <v>0</v>
      </c>
      <c r="M360" s="160">
        <v>0</v>
      </c>
      <c r="N360" s="160">
        <v>0</v>
      </c>
      <c r="O360" s="160">
        <f t="shared" ref="O360" si="257">O361+O362</f>
        <v>0</v>
      </c>
      <c r="P360" s="127">
        <f t="shared" si="251"/>
        <v>0</v>
      </c>
      <c r="Q360" s="160">
        <v>0</v>
      </c>
      <c r="R360" s="160">
        <v>0</v>
      </c>
      <c r="S360" s="160">
        <v>0</v>
      </c>
      <c r="T360" s="160">
        <v>0</v>
      </c>
      <c r="U360" s="160">
        <v>0</v>
      </c>
    </row>
    <row r="361" spans="1:21" ht="31.5" x14ac:dyDescent="0.25">
      <c r="A361" s="469"/>
      <c r="B361" s="149" t="s">
        <v>274</v>
      </c>
      <c r="C361" s="181">
        <f t="shared" si="254"/>
        <v>0</v>
      </c>
      <c r="D361" s="171">
        <v>0</v>
      </c>
      <c r="E361" s="171">
        <v>0</v>
      </c>
      <c r="F361" s="171">
        <v>0</v>
      </c>
      <c r="G361" s="171">
        <v>0</v>
      </c>
      <c r="H361" s="171">
        <v>0</v>
      </c>
      <c r="I361" s="127">
        <f t="shared" si="241"/>
        <v>0</v>
      </c>
      <c r="J361" s="160"/>
      <c r="K361" s="160"/>
      <c r="L361" s="160"/>
      <c r="M361" s="160"/>
      <c r="N361" s="160"/>
      <c r="O361" s="160"/>
      <c r="P361" s="127">
        <f t="shared" si="251"/>
        <v>0</v>
      </c>
      <c r="Q361" s="160"/>
      <c r="R361" s="160"/>
      <c r="S361" s="160"/>
      <c r="T361" s="160"/>
      <c r="U361" s="160"/>
    </row>
    <row r="362" spans="1:21" ht="31.5" x14ac:dyDescent="0.25">
      <c r="A362" s="469"/>
      <c r="B362" s="149" t="s">
        <v>275</v>
      </c>
      <c r="C362" s="181">
        <f t="shared" si="254"/>
        <v>2000</v>
      </c>
      <c r="D362" s="160">
        <v>900</v>
      </c>
      <c r="E362" s="160">
        <v>1100</v>
      </c>
      <c r="F362" s="171">
        <v>0</v>
      </c>
      <c r="G362" s="171">
        <v>0</v>
      </c>
      <c r="H362" s="171">
        <v>0</v>
      </c>
      <c r="I362" s="127">
        <f t="shared" si="241"/>
        <v>0</v>
      </c>
      <c r="J362" s="160"/>
      <c r="K362" s="160"/>
      <c r="L362" s="160"/>
      <c r="M362" s="160"/>
      <c r="N362" s="160"/>
      <c r="O362" s="160"/>
      <c r="P362" s="127">
        <f t="shared" si="251"/>
        <v>0</v>
      </c>
      <c r="Q362" s="160"/>
      <c r="R362" s="160"/>
      <c r="S362" s="160"/>
      <c r="T362" s="160"/>
      <c r="U362" s="160"/>
    </row>
    <row r="363" spans="1:21" x14ac:dyDescent="0.25">
      <c r="A363" s="469"/>
      <c r="B363" s="149" t="s">
        <v>276</v>
      </c>
      <c r="C363" s="181"/>
      <c r="D363" s="171">
        <v>0</v>
      </c>
      <c r="E363" s="171">
        <v>0</v>
      </c>
      <c r="F363" s="171">
        <v>0</v>
      </c>
      <c r="G363" s="171">
        <v>0</v>
      </c>
      <c r="H363" s="171">
        <v>0</v>
      </c>
      <c r="I363" s="127">
        <f t="shared" si="241"/>
        <v>0</v>
      </c>
      <c r="J363" s="160"/>
      <c r="K363" s="160"/>
      <c r="L363" s="160"/>
      <c r="M363" s="160"/>
      <c r="N363" s="160"/>
      <c r="O363" s="160"/>
      <c r="P363" s="127">
        <f t="shared" si="251"/>
        <v>0</v>
      </c>
      <c r="Q363" s="160"/>
      <c r="R363" s="160"/>
      <c r="S363" s="160"/>
      <c r="T363" s="160"/>
      <c r="U363" s="160"/>
    </row>
    <row r="364" spans="1:21" x14ac:dyDescent="0.25">
      <c r="A364" s="469"/>
      <c r="B364" s="147" t="s">
        <v>277</v>
      </c>
      <c r="C364" s="181">
        <f t="shared" si="254"/>
        <v>600</v>
      </c>
      <c r="D364" s="171">
        <v>0</v>
      </c>
      <c r="E364" s="160">
        <f t="shared" ref="E364" si="258">E365+E367</f>
        <v>200</v>
      </c>
      <c r="F364" s="171">
        <v>0</v>
      </c>
      <c r="G364" s="171">
        <v>0</v>
      </c>
      <c r="H364" s="277">
        <v>400</v>
      </c>
      <c r="I364" s="127">
        <f t="shared" si="241"/>
        <v>0</v>
      </c>
      <c r="J364" s="160">
        <v>0</v>
      </c>
      <c r="K364" s="160">
        <v>0</v>
      </c>
      <c r="L364" s="160">
        <v>0</v>
      </c>
      <c r="M364" s="160">
        <v>0</v>
      </c>
      <c r="N364" s="160">
        <v>0</v>
      </c>
      <c r="O364" s="160"/>
      <c r="P364" s="127">
        <f t="shared" si="251"/>
        <v>0</v>
      </c>
      <c r="Q364" s="160">
        <v>0</v>
      </c>
      <c r="R364" s="160">
        <v>0</v>
      </c>
      <c r="S364" s="160">
        <v>0</v>
      </c>
      <c r="T364" s="160">
        <v>0</v>
      </c>
      <c r="U364" s="160">
        <v>0</v>
      </c>
    </row>
    <row r="365" spans="1:21" x14ac:dyDescent="0.25">
      <c r="A365" s="469"/>
      <c r="B365" s="148" t="s">
        <v>278</v>
      </c>
      <c r="C365" s="181">
        <f t="shared" si="254"/>
        <v>0</v>
      </c>
      <c r="D365" s="171">
        <v>0</v>
      </c>
      <c r="E365" s="160">
        <f t="shared" ref="E365" si="259">E366</f>
        <v>0</v>
      </c>
      <c r="F365" s="171">
        <v>0</v>
      </c>
      <c r="G365" s="171">
        <v>0</v>
      </c>
      <c r="H365" s="171">
        <v>0</v>
      </c>
      <c r="I365" s="127">
        <f t="shared" si="241"/>
        <v>0</v>
      </c>
      <c r="J365" s="160">
        <v>0</v>
      </c>
      <c r="K365" s="160">
        <v>0</v>
      </c>
      <c r="L365" s="160">
        <v>0</v>
      </c>
      <c r="M365" s="160">
        <v>0</v>
      </c>
      <c r="N365" s="160">
        <v>0</v>
      </c>
      <c r="O365" s="160"/>
      <c r="P365" s="127">
        <f t="shared" si="251"/>
        <v>0</v>
      </c>
      <c r="Q365" s="160">
        <v>0</v>
      </c>
      <c r="R365" s="160">
        <v>0</v>
      </c>
      <c r="S365" s="160">
        <v>0</v>
      </c>
      <c r="T365" s="160">
        <v>0</v>
      </c>
      <c r="U365" s="160">
        <v>0</v>
      </c>
    </row>
    <row r="366" spans="1:21" x14ac:dyDescent="0.25">
      <c r="A366" s="469"/>
      <c r="B366" s="149" t="s">
        <v>279</v>
      </c>
      <c r="C366" s="181">
        <f t="shared" si="254"/>
        <v>0</v>
      </c>
      <c r="D366" s="171">
        <v>0</v>
      </c>
      <c r="E366" s="171">
        <v>0</v>
      </c>
      <c r="F366" s="171">
        <v>0</v>
      </c>
      <c r="G366" s="171">
        <v>0</v>
      </c>
      <c r="H366" s="171">
        <v>0</v>
      </c>
      <c r="I366" s="127">
        <f t="shared" si="241"/>
        <v>0</v>
      </c>
      <c r="J366" s="160"/>
      <c r="K366" s="160"/>
      <c r="L366" s="160"/>
      <c r="M366" s="160"/>
      <c r="N366" s="160"/>
      <c r="O366" s="160"/>
      <c r="P366" s="127">
        <f t="shared" si="251"/>
        <v>0</v>
      </c>
      <c r="Q366" s="160"/>
      <c r="R366" s="160"/>
      <c r="S366" s="160"/>
      <c r="T366" s="160"/>
      <c r="U366" s="160"/>
    </row>
    <row r="367" spans="1:21" ht="31.5" x14ac:dyDescent="0.25">
      <c r="A367" s="469"/>
      <c r="B367" s="151" t="s">
        <v>280</v>
      </c>
      <c r="C367" s="181">
        <f t="shared" si="254"/>
        <v>600</v>
      </c>
      <c r="D367" s="171">
        <v>0</v>
      </c>
      <c r="E367" s="160">
        <v>200</v>
      </c>
      <c r="F367" s="171">
        <v>0</v>
      </c>
      <c r="G367" s="171">
        <v>0</v>
      </c>
      <c r="H367" s="277">
        <v>400</v>
      </c>
      <c r="I367" s="127">
        <f t="shared" si="241"/>
        <v>0</v>
      </c>
      <c r="J367" s="160">
        <v>0</v>
      </c>
      <c r="K367" s="160">
        <v>0</v>
      </c>
      <c r="L367" s="160">
        <v>0</v>
      </c>
      <c r="M367" s="160">
        <v>0</v>
      </c>
      <c r="N367" s="160">
        <v>0</v>
      </c>
      <c r="O367" s="160"/>
      <c r="P367" s="127">
        <f t="shared" si="251"/>
        <v>0</v>
      </c>
      <c r="Q367" s="160">
        <v>0</v>
      </c>
      <c r="R367" s="160">
        <v>0</v>
      </c>
      <c r="S367" s="160">
        <v>0</v>
      </c>
      <c r="T367" s="160">
        <v>0</v>
      </c>
      <c r="U367" s="160">
        <v>0</v>
      </c>
    </row>
    <row r="368" spans="1:21" ht="31.5" x14ac:dyDescent="0.25">
      <c r="A368" s="469"/>
      <c r="B368" s="150" t="s">
        <v>281</v>
      </c>
      <c r="C368" s="181">
        <f t="shared" si="254"/>
        <v>0</v>
      </c>
      <c r="D368" s="171">
        <v>0</v>
      </c>
      <c r="E368" s="171">
        <v>0</v>
      </c>
      <c r="F368" s="171">
        <v>0</v>
      </c>
      <c r="G368" s="171">
        <v>0</v>
      </c>
      <c r="H368" s="171">
        <v>0</v>
      </c>
      <c r="I368" s="127">
        <f t="shared" si="241"/>
        <v>0</v>
      </c>
      <c r="J368" s="160"/>
      <c r="K368" s="160"/>
      <c r="L368" s="160"/>
      <c r="M368" s="160"/>
      <c r="N368" s="160"/>
      <c r="O368" s="160"/>
      <c r="P368" s="127">
        <f t="shared" si="251"/>
        <v>0</v>
      </c>
      <c r="Q368" s="160"/>
      <c r="R368" s="160"/>
      <c r="S368" s="160"/>
      <c r="T368" s="160"/>
      <c r="U368" s="160"/>
    </row>
    <row r="369" spans="1:21" x14ac:dyDescent="0.25">
      <c r="A369" s="90"/>
      <c r="B369" s="147" t="s">
        <v>282</v>
      </c>
      <c r="C369" s="181">
        <f t="shared" si="254"/>
        <v>44707</v>
      </c>
      <c r="D369" s="160">
        <f>D370</f>
        <v>4425</v>
      </c>
      <c r="E369" s="160">
        <f t="shared" ref="E369:O369" si="260">E370</f>
        <v>31800</v>
      </c>
      <c r="F369" s="171">
        <v>0</v>
      </c>
      <c r="G369" s="171">
        <v>0</v>
      </c>
      <c r="H369" s="160">
        <f t="shared" si="260"/>
        <v>8482</v>
      </c>
      <c r="I369" s="127">
        <f t="shared" si="241"/>
        <v>0</v>
      </c>
      <c r="J369" s="160">
        <v>0</v>
      </c>
      <c r="K369" s="160">
        <v>0</v>
      </c>
      <c r="L369" s="160">
        <v>0</v>
      </c>
      <c r="M369" s="160">
        <v>0</v>
      </c>
      <c r="N369" s="160">
        <v>0</v>
      </c>
      <c r="O369" s="160">
        <f t="shared" si="260"/>
        <v>0</v>
      </c>
      <c r="P369" s="127">
        <f t="shared" si="251"/>
        <v>0</v>
      </c>
      <c r="Q369" s="160">
        <v>0</v>
      </c>
      <c r="R369" s="160">
        <v>0</v>
      </c>
      <c r="S369" s="160">
        <v>0</v>
      </c>
      <c r="T369" s="160">
        <v>0</v>
      </c>
      <c r="U369" s="160">
        <v>0</v>
      </c>
    </row>
    <row r="370" spans="1:21" x14ac:dyDescent="0.25">
      <c r="A370" s="469"/>
      <c r="B370" s="151" t="s">
        <v>283</v>
      </c>
      <c r="C370" s="181">
        <f t="shared" si="254"/>
        <v>44707</v>
      </c>
      <c r="D370" s="160">
        <f>D371+D372</f>
        <v>4425</v>
      </c>
      <c r="E370" s="160">
        <f t="shared" ref="E370" si="261">E371+E372</f>
        <v>31800</v>
      </c>
      <c r="F370" s="171">
        <v>0</v>
      </c>
      <c r="G370" s="171">
        <v>0</v>
      </c>
      <c r="H370" s="160">
        <f>H371+H372</f>
        <v>8482</v>
      </c>
      <c r="I370" s="127">
        <f t="shared" si="241"/>
        <v>0</v>
      </c>
      <c r="J370" s="160">
        <v>0</v>
      </c>
      <c r="K370" s="160">
        <v>0</v>
      </c>
      <c r="L370" s="160">
        <v>0</v>
      </c>
      <c r="M370" s="160">
        <v>0</v>
      </c>
      <c r="N370" s="160">
        <v>0</v>
      </c>
      <c r="O370" s="160"/>
      <c r="P370" s="127">
        <f t="shared" si="251"/>
        <v>0</v>
      </c>
      <c r="Q370" s="160">
        <v>0</v>
      </c>
      <c r="R370" s="160">
        <v>0</v>
      </c>
      <c r="S370" s="160">
        <v>0</v>
      </c>
      <c r="T370" s="160">
        <v>0</v>
      </c>
      <c r="U370" s="160">
        <v>0</v>
      </c>
    </row>
    <row r="371" spans="1:21" x14ac:dyDescent="0.25">
      <c r="A371" s="469"/>
      <c r="B371" s="150" t="s">
        <v>284</v>
      </c>
      <c r="C371" s="181">
        <f t="shared" si="254"/>
        <v>22027</v>
      </c>
      <c r="D371" s="160">
        <v>2025</v>
      </c>
      <c r="E371" s="160">
        <v>18000</v>
      </c>
      <c r="F371" s="171">
        <v>0</v>
      </c>
      <c r="G371" s="171">
        <v>0</v>
      </c>
      <c r="H371" s="160">
        <v>2002</v>
      </c>
      <c r="I371" s="127">
        <f t="shared" si="241"/>
        <v>0</v>
      </c>
      <c r="J371" s="160"/>
      <c r="K371" s="160"/>
      <c r="L371" s="160"/>
      <c r="M371" s="160"/>
      <c r="N371" s="160"/>
      <c r="O371" s="160"/>
      <c r="P371" s="127">
        <f t="shared" si="251"/>
        <v>0</v>
      </c>
      <c r="Q371" s="160"/>
      <c r="R371" s="160"/>
      <c r="S371" s="160"/>
      <c r="T371" s="160"/>
      <c r="U371" s="160"/>
    </row>
    <row r="372" spans="1:21" x14ac:dyDescent="0.25">
      <c r="A372" s="469"/>
      <c r="B372" s="149" t="s">
        <v>285</v>
      </c>
      <c r="C372" s="181">
        <f t="shared" si="254"/>
        <v>22680</v>
      </c>
      <c r="D372" s="160">
        <v>2400</v>
      </c>
      <c r="E372" s="160">
        <v>13800</v>
      </c>
      <c r="F372" s="171">
        <v>0</v>
      </c>
      <c r="G372" s="171">
        <v>0</v>
      </c>
      <c r="H372" s="160">
        <v>6480</v>
      </c>
      <c r="I372" s="127">
        <f t="shared" si="241"/>
        <v>0</v>
      </c>
      <c r="J372" s="160"/>
      <c r="K372" s="160"/>
      <c r="L372" s="160"/>
      <c r="M372" s="160"/>
      <c r="N372" s="160"/>
      <c r="O372" s="160"/>
      <c r="P372" s="127">
        <f t="shared" si="251"/>
        <v>0</v>
      </c>
      <c r="Q372" s="160"/>
      <c r="R372" s="160"/>
      <c r="S372" s="160"/>
      <c r="T372" s="160"/>
      <c r="U372" s="160"/>
    </row>
    <row r="373" spans="1:21" x14ac:dyDescent="0.25">
      <c r="A373" s="469"/>
      <c r="B373" s="156" t="s">
        <v>286</v>
      </c>
      <c r="C373" s="181">
        <f>SUM(D373:H373)</f>
        <v>10265.4</v>
      </c>
      <c r="D373" s="160">
        <f>D374+D376+D378+D390+D392+D394+D397</f>
        <v>0</v>
      </c>
      <c r="E373" s="160">
        <f>E374+E376+E378+E390+E392+E394+E397</f>
        <v>8230.4</v>
      </c>
      <c r="F373" s="160">
        <f>F374+F376+F378+F390+F392+F394+F397+F398+F399</f>
        <v>2035</v>
      </c>
      <c r="G373" s="160">
        <f>G374+G376+G378+G390+G392+G394+G397</f>
        <v>0</v>
      </c>
      <c r="H373" s="160">
        <f>H374+H376+H378+H390+H392+H394+H397</f>
        <v>0</v>
      </c>
      <c r="I373" s="127">
        <f t="shared" si="241"/>
        <v>10334.734</v>
      </c>
      <c r="J373" s="160">
        <v>0</v>
      </c>
      <c r="K373" s="277">
        <f>K374+K376+K378+K390+K392+K394+K397</f>
        <v>9244.7340000000004</v>
      </c>
      <c r="L373" s="160">
        <f>SUM(L378+L390+L392+L394+L397)</f>
        <v>1090</v>
      </c>
      <c r="M373" s="160">
        <v>0</v>
      </c>
      <c r="N373" s="160">
        <v>0</v>
      </c>
      <c r="O373" s="160">
        <f>O374+O376+O378+O392+O394+O398+O399</f>
        <v>0</v>
      </c>
      <c r="P373" s="127">
        <f t="shared" si="251"/>
        <v>10334.736000000001</v>
      </c>
      <c r="Q373" s="160">
        <v>0</v>
      </c>
      <c r="R373" s="277">
        <f>R374+R376+R378+R390+R392+R394+R397</f>
        <v>9244.7360000000008</v>
      </c>
      <c r="S373" s="160">
        <f>SUM(S378+S390+S392+S394+S397)</f>
        <v>1090</v>
      </c>
      <c r="T373" s="160">
        <v>0</v>
      </c>
      <c r="U373" s="160">
        <v>0</v>
      </c>
    </row>
    <row r="374" spans="1:21" x14ac:dyDescent="0.25">
      <c r="A374" s="469"/>
      <c r="B374" s="152" t="s">
        <v>287</v>
      </c>
      <c r="C374" s="181">
        <f t="shared" si="254"/>
        <v>1350</v>
      </c>
      <c r="D374" s="171">
        <v>0</v>
      </c>
      <c r="E374" s="160">
        <f t="shared" ref="E374" si="262">E375</f>
        <v>1350</v>
      </c>
      <c r="F374" s="171">
        <v>0</v>
      </c>
      <c r="G374" s="171">
        <v>0</v>
      </c>
      <c r="H374" s="171">
        <v>0</v>
      </c>
      <c r="I374" s="127">
        <f t="shared" si="241"/>
        <v>898.07799999999997</v>
      </c>
      <c r="J374" s="160">
        <v>0</v>
      </c>
      <c r="K374" s="277">
        <f t="shared" ref="K374" si="263">K375</f>
        <v>898.07799999999997</v>
      </c>
      <c r="L374" s="160">
        <v>0</v>
      </c>
      <c r="M374" s="160">
        <v>0</v>
      </c>
      <c r="N374" s="160">
        <v>0</v>
      </c>
      <c r="O374" s="160"/>
      <c r="P374" s="127">
        <f t="shared" si="251"/>
        <v>898.08</v>
      </c>
      <c r="Q374" s="160">
        <v>0</v>
      </c>
      <c r="R374" s="277">
        <f t="shared" ref="R374" si="264">R375</f>
        <v>898.08</v>
      </c>
      <c r="S374" s="160">
        <v>0</v>
      </c>
      <c r="T374" s="160">
        <v>0</v>
      </c>
      <c r="U374" s="160">
        <v>0</v>
      </c>
    </row>
    <row r="375" spans="1:21" x14ac:dyDescent="0.25">
      <c r="A375" s="469"/>
      <c r="B375" s="157" t="s">
        <v>288</v>
      </c>
      <c r="C375" s="181">
        <f t="shared" si="254"/>
        <v>1350</v>
      </c>
      <c r="D375" s="171">
        <v>0</v>
      </c>
      <c r="E375" s="160">
        <v>1350</v>
      </c>
      <c r="F375" s="171">
        <v>0</v>
      </c>
      <c r="G375" s="171">
        <v>0</v>
      </c>
      <c r="H375" s="171">
        <v>0</v>
      </c>
      <c r="I375" s="127">
        <f t="shared" si="241"/>
        <v>898.07799999999997</v>
      </c>
      <c r="J375" s="160"/>
      <c r="K375" s="277">
        <v>898.07799999999997</v>
      </c>
      <c r="L375" s="160"/>
      <c r="M375" s="160"/>
      <c r="N375" s="160"/>
      <c r="O375" s="160"/>
      <c r="P375" s="127">
        <f t="shared" si="251"/>
        <v>898.08</v>
      </c>
      <c r="Q375" s="160"/>
      <c r="R375" s="277">
        <v>898.08</v>
      </c>
      <c r="S375" s="160"/>
      <c r="T375" s="160"/>
      <c r="U375" s="160"/>
    </row>
    <row r="376" spans="1:21" x14ac:dyDescent="0.25">
      <c r="A376" s="469"/>
      <c r="B376" s="152" t="s">
        <v>289</v>
      </c>
      <c r="C376" s="181">
        <f t="shared" si="254"/>
        <v>6880.4</v>
      </c>
      <c r="D376" s="171">
        <v>0</v>
      </c>
      <c r="E376" s="160">
        <f t="shared" ref="E376" si="265">E377</f>
        <v>6880.4</v>
      </c>
      <c r="F376" s="171">
        <v>0</v>
      </c>
      <c r="G376" s="171">
        <v>0</v>
      </c>
      <c r="H376" s="171">
        <v>0</v>
      </c>
      <c r="I376" s="127">
        <f t="shared" si="241"/>
        <v>8346.6560000000009</v>
      </c>
      <c r="J376" s="160">
        <v>0</v>
      </c>
      <c r="K376" s="277">
        <f t="shared" ref="K376" si="266">K377</f>
        <v>8346.6560000000009</v>
      </c>
      <c r="L376" s="160">
        <v>0</v>
      </c>
      <c r="M376" s="160">
        <v>0</v>
      </c>
      <c r="N376" s="160">
        <v>0</v>
      </c>
      <c r="O376" s="160"/>
      <c r="P376" s="127">
        <f t="shared" si="251"/>
        <v>8346.6560000000009</v>
      </c>
      <c r="Q376" s="160">
        <v>0</v>
      </c>
      <c r="R376" s="277">
        <f t="shared" ref="R376" si="267">R377</f>
        <v>8346.6560000000009</v>
      </c>
      <c r="S376" s="160">
        <v>0</v>
      </c>
      <c r="T376" s="160">
        <v>0</v>
      </c>
      <c r="U376" s="160">
        <v>0</v>
      </c>
    </row>
    <row r="377" spans="1:21" x14ac:dyDescent="0.25">
      <c r="A377" s="469"/>
      <c r="B377" s="157" t="s">
        <v>290</v>
      </c>
      <c r="C377" s="181">
        <f t="shared" si="254"/>
        <v>6880.4</v>
      </c>
      <c r="D377" s="171">
        <v>0</v>
      </c>
      <c r="E377" s="160">
        <v>6880.4</v>
      </c>
      <c r="F377" s="171">
        <v>0</v>
      </c>
      <c r="G377" s="171">
        <v>0</v>
      </c>
      <c r="H377" s="171">
        <v>0</v>
      </c>
      <c r="I377" s="127">
        <f t="shared" si="241"/>
        <v>8346.6560000000009</v>
      </c>
      <c r="J377" s="160"/>
      <c r="K377" s="277">
        <v>8346.6560000000009</v>
      </c>
      <c r="L377" s="160"/>
      <c r="M377" s="160"/>
      <c r="N377" s="160"/>
      <c r="O377" s="160"/>
      <c r="P377" s="127">
        <f t="shared" si="251"/>
        <v>8346.6560000000009</v>
      </c>
      <c r="Q377" s="160"/>
      <c r="R377" s="277">
        <v>8346.6560000000009</v>
      </c>
      <c r="S377" s="160"/>
      <c r="T377" s="160"/>
      <c r="U377" s="160"/>
    </row>
    <row r="378" spans="1:21" x14ac:dyDescent="0.25">
      <c r="A378" s="469"/>
      <c r="B378" s="152" t="s">
        <v>291</v>
      </c>
      <c r="C378" s="181">
        <f t="shared" si="254"/>
        <v>630</v>
      </c>
      <c r="D378" s="171">
        <v>0</v>
      </c>
      <c r="E378" s="171">
        <v>0</v>
      </c>
      <c r="F378" s="160">
        <f>F379+F380+F381+F382+F383+F384+F385+F386+F387</f>
        <v>630</v>
      </c>
      <c r="G378" s="171">
        <v>0</v>
      </c>
      <c r="H378" s="171">
        <v>0</v>
      </c>
      <c r="I378" s="127">
        <f t="shared" si="241"/>
        <v>215</v>
      </c>
      <c r="J378" s="160">
        <v>0</v>
      </c>
      <c r="K378" s="160">
        <v>0</v>
      </c>
      <c r="L378" s="160">
        <v>215</v>
      </c>
      <c r="M378" s="160">
        <v>0</v>
      </c>
      <c r="N378" s="160">
        <v>0</v>
      </c>
      <c r="O378" s="160"/>
      <c r="P378" s="127">
        <f t="shared" si="251"/>
        <v>215</v>
      </c>
      <c r="Q378" s="160">
        <v>0</v>
      </c>
      <c r="R378" s="160">
        <v>0</v>
      </c>
      <c r="S378" s="160">
        <f>SUM(S380:S389)</f>
        <v>215</v>
      </c>
      <c r="T378" s="160">
        <v>0</v>
      </c>
      <c r="U378" s="160">
        <v>0</v>
      </c>
    </row>
    <row r="379" spans="1:21" x14ac:dyDescent="0.25">
      <c r="A379" s="469"/>
      <c r="B379" s="157" t="s">
        <v>292</v>
      </c>
      <c r="C379" s="181">
        <f t="shared" si="254"/>
        <v>0</v>
      </c>
      <c r="D379" s="171">
        <v>0</v>
      </c>
      <c r="E379" s="171">
        <v>0</v>
      </c>
      <c r="F379" s="171">
        <v>0</v>
      </c>
      <c r="G379" s="171">
        <v>0</v>
      </c>
      <c r="H379" s="171">
        <v>0</v>
      </c>
      <c r="I379" s="127">
        <f t="shared" si="241"/>
        <v>0</v>
      </c>
      <c r="J379" s="160"/>
      <c r="K379" s="160"/>
      <c r="L379" s="160">
        <v>0</v>
      </c>
      <c r="M379" s="160"/>
      <c r="N379" s="160"/>
      <c r="O379" s="160"/>
      <c r="P379" s="127">
        <f t="shared" si="251"/>
        <v>0</v>
      </c>
      <c r="Q379" s="160"/>
      <c r="R379" s="160"/>
      <c r="S379" s="160"/>
      <c r="T379" s="160"/>
      <c r="U379" s="160"/>
    </row>
    <row r="380" spans="1:21" x14ac:dyDescent="0.25">
      <c r="A380" s="469"/>
      <c r="B380" s="157" t="s">
        <v>293</v>
      </c>
      <c r="C380" s="181">
        <f t="shared" si="254"/>
        <v>0</v>
      </c>
      <c r="D380" s="171">
        <v>0</v>
      </c>
      <c r="E380" s="171">
        <v>0</v>
      </c>
      <c r="F380" s="171">
        <v>0</v>
      </c>
      <c r="G380" s="171">
        <v>0</v>
      </c>
      <c r="H380" s="171">
        <v>0</v>
      </c>
      <c r="I380" s="127">
        <f t="shared" si="241"/>
        <v>0</v>
      </c>
      <c r="J380" s="160"/>
      <c r="K380" s="160"/>
      <c r="L380" s="160"/>
      <c r="M380" s="160"/>
      <c r="N380" s="160"/>
      <c r="O380" s="160"/>
      <c r="P380" s="127">
        <f t="shared" si="251"/>
        <v>0</v>
      </c>
      <c r="Q380" s="160"/>
      <c r="R380" s="160"/>
      <c r="S380" s="160"/>
      <c r="T380" s="160"/>
      <c r="U380" s="160"/>
    </row>
    <row r="381" spans="1:21" x14ac:dyDescent="0.25">
      <c r="A381" s="469"/>
      <c r="B381" s="157" t="s">
        <v>294</v>
      </c>
      <c r="C381" s="181">
        <f t="shared" si="254"/>
        <v>0</v>
      </c>
      <c r="D381" s="171">
        <v>0</v>
      </c>
      <c r="E381" s="171">
        <v>0</v>
      </c>
      <c r="F381" s="171">
        <v>0</v>
      </c>
      <c r="G381" s="171">
        <v>0</v>
      </c>
      <c r="H381" s="171">
        <v>0</v>
      </c>
      <c r="I381" s="127">
        <f t="shared" si="241"/>
        <v>0</v>
      </c>
      <c r="J381" s="160"/>
      <c r="K381" s="160"/>
      <c r="L381" s="160"/>
      <c r="M381" s="160"/>
      <c r="N381" s="160"/>
      <c r="O381" s="160"/>
      <c r="P381" s="127">
        <f t="shared" si="251"/>
        <v>0</v>
      </c>
      <c r="Q381" s="160"/>
      <c r="R381" s="160"/>
      <c r="S381" s="160"/>
      <c r="T381" s="160"/>
      <c r="U381" s="160"/>
    </row>
    <row r="382" spans="1:21" x14ac:dyDescent="0.25">
      <c r="A382" s="469"/>
      <c r="B382" s="157" t="s">
        <v>295</v>
      </c>
      <c r="C382" s="181">
        <f t="shared" si="254"/>
        <v>100</v>
      </c>
      <c r="D382" s="171">
        <v>0</v>
      </c>
      <c r="E382" s="171">
        <v>0</v>
      </c>
      <c r="F382" s="160">
        <v>100</v>
      </c>
      <c r="G382" s="171">
        <v>0</v>
      </c>
      <c r="H382" s="171">
        <v>0</v>
      </c>
      <c r="I382" s="127">
        <f t="shared" si="241"/>
        <v>39.9</v>
      </c>
      <c r="J382" s="160">
        <v>0</v>
      </c>
      <c r="K382" s="160">
        <v>0</v>
      </c>
      <c r="L382" s="160">
        <v>39.9</v>
      </c>
      <c r="M382" s="160">
        <v>0</v>
      </c>
      <c r="N382" s="160">
        <v>0</v>
      </c>
      <c r="O382" s="160"/>
      <c r="P382" s="127">
        <f t="shared" si="251"/>
        <v>39.9</v>
      </c>
      <c r="Q382" s="160">
        <v>0</v>
      </c>
      <c r="R382" s="160">
        <v>0</v>
      </c>
      <c r="S382" s="160">
        <v>39.9</v>
      </c>
      <c r="T382" s="160">
        <v>0</v>
      </c>
      <c r="U382" s="160">
        <v>0</v>
      </c>
    </row>
    <row r="383" spans="1:21" x14ac:dyDescent="0.25">
      <c r="A383" s="469"/>
      <c r="B383" s="157" t="s">
        <v>296</v>
      </c>
      <c r="C383" s="181">
        <f t="shared" si="254"/>
        <v>100</v>
      </c>
      <c r="D383" s="171">
        <v>0</v>
      </c>
      <c r="E383" s="171">
        <v>0</v>
      </c>
      <c r="F383" s="160">
        <v>100</v>
      </c>
      <c r="G383" s="171">
        <v>0</v>
      </c>
      <c r="H383" s="171">
        <v>0</v>
      </c>
      <c r="I383" s="127">
        <f t="shared" si="241"/>
        <v>30</v>
      </c>
      <c r="J383" s="160">
        <v>0</v>
      </c>
      <c r="K383" s="160">
        <v>0</v>
      </c>
      <c r="L383" s="160">
        <v>30</v>
      </c>
      <c r="M383" s="160">
        <v>0</v>
      </c>
      <c r="N383" s="160">
        <v>0</v>
      </c>
      <c r="O383" s="160"/>
      <c r="P383" s="127">
        <f t="shared" si="251"/>
        <v>30</v>
      </c>
      <c r="Q383" s="160">
        <v>0</v>
      </c>
      <c r="R383" s="160">
        <v>0</v>
      </c>
      <c r="S383" s="160">
        <v>30</v>
      </c>
      <c r="T383" s="160">
        <v>0</v>
      </c>
      <c r="U383" s="160">
        <v>0</v>
      </c>
    </row>
    <row r="384" spans="1:21" x14ac:dyDescent="0.25">
      <c r="A384" s="469"/>
      <c r="B384" s="157" t="s">
        <v>297</v>
      </c>
      <c r="C384" s="181">
        <f t="shared" si="254"/>
        <v>50</v>
      </c>
      <c r="D384" s="171">
        <v>0</v>
      </c>
      <c r="E384" s="171">
        <v>0</v>
      </c>
      <c r="F384" s="160">
        <v>50</v>
      </c>
      <c r="G384" s="171">
        <v>0</v>
      </c>
      <c r="H384" s="171">
        <v>0</v>
      </c>
      <c r="I384" s="127">
        <f t="shared" si="241"/>
        <v>25.1</v>
      </c>
      <c r="J384" s="160">
        <v>0</v>
      </c>
      <c r="K384" s="160">
        <v>0</v>
      </c>
      <c r="L384" s="160">
        <v>25.1</v>
      </c>
      <c r="M384" s="160">
        <v>0</v>
      </c>
      <c r="N384" s="160">
        <v>0</v>
      </c>
      <c r="O384" s="160">
        <f t="shared" si="224"/>
        <v>50.2</v>
      </c>
      <c r="P384" s="127">
        <f t="shared" si="251"/>
        <v>25.1</v>
      </c>
      <c r="Q384" s="160">
        <v>0</v>
      </c>
      <c r="R384" s="160">
        <v>0</v>
      </c>
      <c r="S384" s="160">
        <v>25.1</v>
      </c>
      <c r="T384" s="160">
        <v>0</v>
      </c>
      <c r="U384" s="160">
        <v>0</v>
      </c>
    </row>
    <row r="385" spans="1:23" x14ac:dyDescent="0.25">
      <c r="A385" s="469"/>
      <c r="B385" s="157" t="s">
        <v>298</v>
      </c>
      <c r="C385" s="181">
        <f t="shared" si="254"/>
        <v>120</v>
      </c>
      <c r="D385" s="171">
        <v>0</v>
      </c>
      <c r="E385" s="171">
        <v>0</v>
      </c>
      <c r="F385" s="160">
        <v>120</v>
      </c>
      <c r="G385" s="171">
        <v>0</v>
      </c>
      <c r="H385" s="171">
        <v>0</v>
      </c>
      <c r="I385" s="127">
        <f t="shared" si="241"/>
        <v>60</v>
      </c>
      <c r="J385" s="160">
        <v>0</v>
      </c>
      <c r="K385" s="160">
        <v>0</v>
      </c>
      <c r="L385" s="160">
        <v>60</v>
      </c>
      <c r="M385" s="160">
        <v>0</v>
      </c>
      <c r="N385" s="160">
        <v>0</v>
      </c>
      <c r="O385" s="160"/>
      <c r="P385" s="127">
        <f t="shared" si="251"/>
        <v>60</v>
      </c>
      <c r="Q385" s="160">
        <v>0</v>
      </c>
      <c r="R385" s="160">
        <v>0</v>
      </c>
      <c r="S385" s="160">
        <v>60</v>
      </c>
      <c r="T385" s="160">
        <v>0</v>
      </c>
      <c r="U385" s="160">
        <v>0</v>
      </c>
    </row>
    <row r="386" spans="1:23" x14ac:dyDescent="0.25">
      <c r="A386" s="469"/>
      <c r="B386" s="154" t="s">
        <v>299</v>
      </c>
      <c r="C386" s="181">
        <f t="shared" si="254"/>
        <v>160</v>
      </c>
      <c r="D386" s="171">
        <v>0</v>
      </c>
      <c r="E386" s="171">
        <v>0</v>
      </c>
      <c r="F386" s="160">
        <v>160</v>
      </c>
      <c r="G386" s="171">
        <v>0</v>
      </c>
      <c r="H386" s="171">
        <v>0</v>
      </c>
      <c r="I386" s="127">
        <f t="shared" si="241"/>
        <v>0</v>
      </c>
      <c r="J386" s="160">
        <v>0</v>
      </c>
      <c r="K386" s="160">
        <v>0</v>
      </c>
      <c r="L386" s="160"/>
      <c r="M386" s="160">
        <v>0</v>
      </c>
      <c r="N386" s="160">
        <v>0</v>
      </c>
      <c r="O386" s="160"/>
      <c r="P386" s="127">
        <f t="shared" si="251"/>
        <v>0</v>
      </c>
      <c r="Q386" s="160">
        <v>0</v>
      </c>
      <c r="R386" s="160">
        <v>0</v>
      </c>
      <c r="S386" s="160"/>
      <c r="T386" s="160"/>
      <c r="U386" s="160"/>
    </row>
    <row r="387" spans="1:23" x14ac:dyDescent="0.25">
      <c r="A387" s="469"/>
      <c r="B387" s="157" t="s">
        <v>300</v>
      </c>
      <c r="C387" s="181">
        <f t="shared" si="254"/>
        <v>100</v>
      </c>
      <c r="D387" s="171">
        <v>0</v>
      </c>
      <c r="E387" s="171">
        <v>0</v>
      </c>
      <c r="F387" s="160">
        <v>100</v>
      </c>
      <c r="G387" s="171">
        <v>0</v>
      </c>
      <c r="H387" s="171">
        <v>0</v>
      </c>
      <c r="I387" s="127">
        <f t="shared" si="241"/>
        <v>60</v>
      </c>
      <c r="J387" s="160">
        <v>0</v>
      </c>
      <c r="K387" s="160">
        <v>0</v>
      </c>
      <c r="L387" s="160">
        <v>60</v>
      </c>
      <c r="M387" s="160">
        <v>0</v>
      </c>
      <c r="N387" s="160">
        <v>0</v>
      </c>
      <c r="O387" s="160"/>
      <c r="P387" s="127">
        <f t="shared" si="251"/>
        <v>60</v>
      </c>
      <c r="Q387" s="160">
        <v>0</v>
      </c>
      <c r="R387" s="160">
        <v>0</v>
      </c>
      <c r="S387" s="160">
        <v>60</v>
      </c>
      <c r="T387" s="160"/>
      <c r="U387" s="160"/>
    </row>
    <row r="388" spans="1:23" x14ac:dyDescent="0.25">
      <c r="A388" s="469"/>
      <c r="B388" s="157" t="s">
        <v>301</v>
      </c>
      <c r="C388" s="181">
        <f t="shared" si="254"/>
        <v>0</v>
      </c>
      <c r="D388" s="171">
        <v>0</v>
      </c>
      <c r="E388" s="171">
        <v>0</v>
      </c>
      <c r="F388" s="171">
        <v>0</v>
      </c>
      <c r="G388" s="171">
        <v>0</v>
      </c>
      <c r="H388" s="171">
        <v>0</v>
      </c>
      <c r="I388" s="127">
        <f t="shared" si="241"/>
        <v>0</v>
      </c>
      <c r="J388" s="160"/>
      <c r="K388" s="160"/>
      <c r="L388" s="160">
        <v>0</v>
      </c>
      <c r="M388" s="160"/>
      <c r="N388" s="160"/>
      <c r="O388" s="160"/>
      <c r="P388" s="127">
        <f t="shared" si="251"/>
        <v>0</v>
      </c>
      <c r="Q388" s="160">
        <v>0</v>
      </c>
      <c r="R388" s="160">
        <v>0</v>
      </c>
      <c r="S388" s="160"/>
      <c r="T388" s="160"/>
      <c r="U388" s="160"/>
    </row>
    <row r="389" spans="1:23" x14ac:dyDescent="0.25">
      <c r="A389" s="469"/>
      <c r="B389" s="157" t="s">
        <v>302</v>
      </c>
      <c r="C389" s="181">
        <f t="shared" si="254"/>
        <v>0</v>
      </c>
      <c r="D389" s="171">
        <v>0</v>
      </c>
      <c r="E389" s="171">
        <v>0</v>
      </c>
      <c r="F389" s="171">
        <v>0</v>
      </c>
      <c r="G389" s="171">
        <v>0</v>
      </c>
      <c r="H389" s="171">
        <v>0</v>
      </c>
      <c r="I389" s="127">
        <f t="shared" si="241"/>
        <v>0</v>
      </c>
      <c r="J389" s="160"/>
      <c r="K389" s="160"/>
      <c r="L389" s="160"/>
      <c r="M389" s="160"/>
      <c r="N389" s="160"/>
      <c r="O389" s="160"/>
      <c r="P389" s="127">
        <f t="shared" si="251"/>
        <v>0</v>
      </c>
      <c r="Q389" s="160">
        <v>0</v>
      </c>
      <c r="R389" s="160">
        <v>0</v>
      </c>
      <c r="S389" s="160"/>
      <c r="T389" s="160"/>
      <c r="U389" s="160"/>
    </row>
    <row r="390" spans="1:23" x14ac:dyDescent="0.25">
      <c r="A390" s="469"/>
      <c r="B390" s="152" t="s">
        <v>303</v>
      </c>
      <c r="C390" s="181">
        <f t="shared" si="254"/>
        <v>30</v>
      </c>
      <c r="D390" s="171">
        <v>0</v>
      </c>
      <c r="E390" s="171">
        <v>0</v>
      </c>
      <c r="F390" s="160">
        <f t="shared" ref="F390" si="268">F391</f>
        <v>30</v>
      </c>
      <c r="G390" s="171">
        <v>0</v>
      </c>
      <c r="H390" s="171">
        <v>0</v>
      </c>
      <c r="I390" s="127">
        <f t="shared" si="241"/>
        <v>20</v>
      </c>
      <c r="J390" s="160">
        <v>0</v>
      </c>
      <c r="K390" s="160">
        <v>0</v>
      </c>
      <c r="L390" s="160">
        <v>20</v>
      </c>
      <c r="M390" s="160">
        <v>0</v>
      </c>
      <c r="N390" s="160">
        <v>0</v>
      </c>
      <c r="O390" s="160"/>
      <c r="P390" s="127">
        <f t="shared" si="251"/>
        <v>20</v>
      </c>
      <c r="Q390" s="160">
        <v>0</v>
      </c>
      <c r="R390" s="160">
        <v>0</v>
      </c>
      <c r="S390" s="160">
        <v>20</v>
      </c>
      <c r="T390" s="160">
        <v>0</v>
      </c>
      <c r="U390" s="160">
        <v>0</v>
      </c>
    </row>
    <row r="391" spans="1:23" ht="31.5" x14ac:dyDescent="0.25">
      <c r="A391" s="469"/>
      <c r="B391" s="157" t="s">
        <v>304</v>
      </c>
      <c r="C391" s="181">
        <f t="shared" si="254"/>
        <v>30</v>
      </c>
      <c r="D391" s="171">
        <v>0</v>
      </c>
      <c r="E391" s="171">
        <v>0</v>
      </c>
      <c r="F391" s="160">
        <v>30</v>
      </c>
      <c r="G391" s="171">
        <v>0</v>
      </c>
      <c r="H391" s="171">
        <v>0</v>
      </c>
      <c r="I391" s="127">
        <f t="shared" si="241"/>
        <v>20</v>
      </c>
      <c r="J391" s="160">
        <v>0</v>
      </c>
      <c r="K391" s="160">
        <v>0</v>
      </c>
      <c r="L391" s="160">
        <v>20</v>
      </c>
      <c r="M391" s="160">
        <v>0</v>
      </c>
      <c r="N391" s="160">
        <v>0</v>
      </c>
      <c r="O391" s="160"/>
      <c r="P391" s="127">
        <f t="shared" si="251"/>
        <v>20</v>
      </c>
      <c r="Q391" s="160">
        <v>0</v>
      </c>
      <c r="R391" s="160">
        <v>0</v>
      </c>
      <c r="S391" s="160">
        <v>20</v>
      </c>
      <c r="T391" s="160">
        <v>0</v>
      </c>
      <c r="U391" s="160">
        <v>0</v>
      </c>
    </row>
    <row r="392" spans="1:23" x14ac:dyDescent="0.25">
      <c r="A392" s="469"/>
      <c r="B392" s="152" t="s">
        <v>305</v>
      </c>
      <c r="C392" s="181">
        <f t="shared" si="254"/>
        <v>650</v>
      </c>
      <c r="D392" s="171">
        <v>0</v>
      </c>
      <c r="E392" s="171">
        <v>0</v>
      </c>
      <c r="F392" s="160">
        <f t="shared" ref="F392" si="269">F393</f>
        <v>650</v>
      </c>
      <c r="G392" s="171">
        <v>0</v>
      </c>
      <c r="H392" s="171">
        <v>0</v>
      </c>
      <c r="I392" s="127">
        <f t="shared" si="241"/>
        <v>644.5</v>
      </c>
      <c r="J392" s="160">
        <v>0</v>
      </c>
      <c r="K392" s="160">
        <v>0</v>
      </c>
      <c r="L392" s="160">
        <v>644.5</v>
      </c>
      <c r="M392" s="160">
        <v>0</v>
      </c>
      <c r="N392" s="160">
        <v>0</v>
      </c>
      <c r="O392" s="160"/>
      <c r="P392" s="127">
        <f t="shared" si="251"/>
        <v>644.5</v>
      </c>
      <c r="Q392" s="160">
        <v>0</v>
      </c>
      <c r="R392" s="160">
        <v>0</v>
      </c>
      <c r="S392" s="160">
        <v>644.5</v>
      </c>
      <c r="T392" s="160">
        <v>0</v>
      </c>
      <c r="U392" s="160">
        <v>0</v>
      </c>
    </row>
    <row r="393" spans="1:23" x14ac:dyDescent="0.25">
      <c r="A393" s="469"/>
      <c r="B393" s="157" t="s">
        <v>306</v>
      </c>
      <c r="C393" s="181">
        <f t="shared" si="254"/>
        <v>650</v>
      </c>
      <c r="D393" s="171">
        <v>0</v>
      </c>
      <c r="E393" s="171">
        <v>0</v>
      </c>
      <c r="F393" s="160">
        <v>650</v>
      </c>
      <c r="G393" s="171">
        <v>0</v>
      </c>
      <c r="H393" s="171">
        <v>0</v>
      </c>
      <c r="I393" s="127">
        <f t="shared" si="241"/>
        <v>644.5</v>
      </c>
      <c r="J393" s="160"/>
      <c r="K393" s="160"/>
      <c r="L393" s="160">
        <v>644.5</v>
      </c>
      <c r="M393" s="160"/>
      <c r="N393" s="160"/>
      <c r="O393" s="160"/>
      <c r="P393" s="127">
        <f t="shared" si="251"/>
        <v>644.5</v>
      </c>
      <c r="Q393" s="160"/>
      <c r="R393" s="160"/>
      <c r="S393" s="160">
        <v>644.5</v>
      </c>
      <c r="T393" s="160"/>
      <c r="U393" s="160"/>
    </row>
    <row r="394" spans="1:23" x14ac:dyDescent="0.25">
      <c r="A394" s="469"/>
      <c r="B394" s="152" t="s">
        <v>307</v>
      </c>
      <c r="C394" s="181">
        <f t="shared" si="254"/>
        <v>350</v>
      </c>
      <c r="D394" s="171">
        <v>0</v>
      </c>
      <c r="E394" s="171">
        <v>0</v>
      </c>
      <c r="F394" s="160">
        <f t="shared" ref="F394" si="270">F395+F396</f>
        <v>350</v>
      </c>
      <c r="G394" s="171">
        <v>0</v>
      </c>
      <c r="H394" s="171">
        <v>0</v>
      </c>
      <c r="I394" s="127">
        <f t="shared" ref="I394:I454" si="271">SUM(J394:N394)</f>
        <v>122.5</v>
      </c>
      <c r="J394" s="160">
        <v>0</v>
      </c>
      <c r="K394" s="160">
        <v>0</v>
      </c>
      <c r="L394" s="160">
        <f>SUM(L395:L396)</f>
        <v>122.5</v>
      </c>
      <c r="M394" s="160">
        <v>0</v>
      </c>
      <c r="N394" s="160">
        <v>0</v>
      </c>
      <c r="O394" s="160"/>
      <c r="P394" s="127">
        <f t="shared" si="251"/>
        <v>122.5</v>
      </c>
      <c r="Q394" s="160">
        <v>0</v>
      </c>
      <c r="R394" s="160">
        <v>0</v>
      </c>
      <c r="S394" s="160">
        <v>122.5</v>
      </c>
      <c r="T394" s="160">
        <v>0</v>
      </c>
      <c r="U394" s="160">
        <v>0</v>
      </c>
    </row>
    <row r="395" spans="1:23" x14ac:dyDescent="0.25">
      <c r="A395" s="469"/>
      <c r="B395" s="157" t="s">
        <v>308</v>
      </c>
      <c r="C395" s="181">
        <f t="shared" si="254"/>
        <v>0</v>
      </c>
      <c r="D395" s="171">
        <v>0</v>
      </c>
      <c r="E395" s="171">
        <v>0</v>
      </c>
      <c r="F395" s="160"/>
      <c r="G395" s="171">
        <v>0</v>
      </c>
      <c r="H395" s="171">
        <v>0</v>
      </c>
      <c r="I395" s="127">
        <f t="shared" si="271"/>
        <v>0</v>
      </c>
      <c r="J395" s="160"/>
      <c r="K395" s="160"/>
      <c r="L395" s="160"/>
      <c r="M395" s="160"/>
      <c r="N395" s="160"/>
      <c r="O395" s="160"/>
      <c r="P395" s="127">
        <f t="shared" si="251"/>
        <v>0</v>
      </c>
      <c r="Q395" s="160"/>
      <c r="R395" s="160"/>
      <c r="S395" s="160"/>
      <c r="T395" s="160"/>
      <c r="U395" s="160"/>
    </row>
    <row r="396" spans="1:23" ht="18" customHeight="1" x14ac:dyDescent="0.25">
      <c r="A396" s="469"/>
      <c r="B396" s="157" t="s">
        <v>309</v>
      </c>
      <c r="C396" s="181">
        <f t="shared" si="254"/>
        <v>350</v>
      </c>
      <c r="D396" s="171">
        <v>0</v>
      </c>
      <c r="E396" s="171">
        <v>0</v>
      </c>
      <c r="F396" s="160">
        <v>350</v>
      </c>
      <c r="G396" s="171">
        <v>0</v>
      </c>
      <c r="H396" s="171">
        <v>0</v>
      </c>
      <c r="I396" s="127">
        <f t="shared" si="271"/>
        <v>122.5</v>
      </c>
      <c r="J396" s="160"/>
      <c r="K396" s="160"/>
      <c r="L396" s="160">
        <v>122.5</v>
      </c>
      <c r="M396" s="160"/>
      <c r="N396" s="160"/>
      <c r="O396" s="160"/>
      <c r="P396" s="127">
        <f t="shared" si="251"/>
        <v>122.5</v>
      </c>
      <c r="Q396" s="160"/>
      <c r="R396" s="160"/>
      <c r="S396" s="160">
        <v>122.5</v>
      </c>
      <c r="T396" s="160"/>
      <c r="U396" s="160"/>
    </row>
    <row r="397" spans="1:23" x14ac:dyDescent="0.25">
      <c r="A397" s="469"/>
      <c r="B397" s="152" t="s">
        <v>310</v>
      </c>
      <c r="C397" s="181">
        <f t="shared" si="254"/>
        <v>375</v>
      </c>
      <c r="D397" s="171">
        <v>0</v>
      </c>
      <c r="E397" s="171">
        <v>0</v>
      </c>
      <c r="F397" s="160">
        <v>375</v>
      </c>
      <c r="G397" s="171">
        <v>0</v>
      </c>
      <c r="H397" s="171">
        <v>0</v>
      </c>
      <c r="I397" s="127">
        <f t="shared" si="271"/>
        <v>88</v>
      </c>
      <c r="J397" s="160"/>
      <c r="K397" s="160">
        <v>0</v>
      </c>
      <c r="L397" s="160">
        <v>88</v>
      </c>
      <c r="M397" s="160">
        <v>0</v>
      </c>
      <c r="N397" s="160">
        <v>0</v>
      </c>
      <c r="O397" s="160"/>
      <c r="P397" s="127">
        <f t="shared" si="251"/>
        <v>88</v>
      </c>
      <c r="Q397" s="160">
        <v>0</v>
      </c>
      <c r="R397" s="160">
        <v>0</v>
      </c>
      <c r="S397" s="160">
        <v>88</v>
      </c>
      <c r="T397" s="160">
        <v>0</v>
      </c>
      <c r="U397" s="160">
        <v>0</v>
      </c>
    </row>
    <row r="398" spans="1:23" x14ac:dyDescent="0.25">
      <c r="A398" s="469"/>
      <c r="B398" s="152" t="s">
        <v>311</v>
      </c>
      <c r="C398" s="181">
        <f t="shared" si="254"/>
        <v>0</v>
      </c>
      <c r="D398" s="171">
        <v>0</v>
      </c>
      <c r="E398" s="171">
        <v>0</v>
      </c>
      <c r="F398" s="171">
        <v>0</v>
      </c>
      <c r="G398" s="171">
        <v>0</v>
      </c>
      <c r="H398" s="171">
        <v>0</v>
      </c>
      <c r="I398" s="127">
        <f t="shared" si="271"/>
        <v>0</v>
      </c>
      <c r="J398" s="160">
        <v>0</v>
      </c>
      <c r="K398" s="160"/>
      <c r="L398" s="160"/>
      <c r="M398" s="160"/>
      <c r="N398" s="160"/>
      <c r="O398" s="160"/>
      <c r="P398" s="127">
        <f t="shared" si="251"/>
        <v>0</v>
      </c>
      <c r="Q398" s="160"/>
      <c r="R398" s="160"/>
      <c r="S398" s="160"/>
      <c r="T398" s="160"/>
      <c r="U398" s="160"/>
    </row>
    <row r="399" spans="1:23" x14ac:dyDescent="0.25">
      <c r="A399" s="469"/>
      <c r="B399" s="153" t="s">
        <v>312</v>
      </c>
      <c r="C399" s="181">
        <f t="shared" si="254"/>
        <v>0</v>
      </c>
      <c r="D399" s="171">
        <v>0</v>
      </c>
      <c r="E399" s="171">
        <v>0</v>
      </c>
      <c r="F399" s="171">
        <v>0</v>
      </c>
      <c r="G399" s="171">
        <v>0</v>
      </c>
      <c r="H399" s="171">
        <v>0</v>
      </c>
      <c r="I399" s="127">
        <f t="shared" si="271"/>
        <v>88</v>
      </c>
      <c r="J399" s="160"/>
      <c r="K399" s="160"/>
      <c r="L399" s="160">
        <v>88</v>
      </c>
      <c r="M399" s="160"/>
      <c r="N399" s="160"/>
      <c r="O399" s="160"/>
      <c r="P399" s="127">
        <f t="shared" si="251"/>
        <v>88</v>
      </c>
      <c r="Q399" s="160"/>
      <c r="R399" s="160"/>
      <c r="S399" s="160">
        <v>88</v>
      </c>
      <c r="T399" s="160"/>
      <c r="U399" s="160"/>
    </row>
    <row r="400" spans="1:23" ht="31.5" x14ac:dyDescent="0.25">
      <c r="A400" s="52"/>
      <c r="B400" s="24" t="s">
        <v>313</v>
      </c>
      <c r="C400" s="404">
        <f t="shared" ref="C400:H400" si="272">C401+C402+C409</f>
        <v>14782.5</v>
      </c>
      <c r="D400" s="404">
        <f t="shared" si="272"/>
        <v>4531</v>
      </c>
      <c r="E400" s="404">
        <f t="shared" si="272"/>
        <v>0</v>
      </c>
      <c r="F400" s="404">
        <f t="shared" si="272"/>
        <v>9151.5</v>
      </c>
      <c r="G400" s="404">
        <f t="shared" si="272"/>
        <v>1100</v>
      </c>
      <c r="H400" s="404">
        <f t="shared" si="272"/>
        <v>0</v>
      </c>
      <c r="I400" s="127">
        <f t="shared" si="271"/>
        <v>14870.12</v>
      </c>
      <c r="J400" s="404">
        <f t="shared" ref="J400:O400" si="273">J401+J402+J409</f>
        <v>4531</v>
      </c>
      <c r="K400" s="404">
        <f t="shared" si="273"/>
        <v>0</v>
      </c>
      <c r="L400" s="404">
        <f>L401+L402+L409</f>
        <v>9239.1200000000008</v>
      </c>
      <c r="M400" s="404">
        <f t="shared" si="273"/>
        <v>1100</v>
      </c>
      <c r="N400" s="404">
        <f t="shared" si="273"/>
        <v>0</v>
      </c>
      <c r="O400" s="404" t="e">
        <f t="shared" si="273"/>
        <v>#REF!</v>
      </c>
      <c r="P400" s="127">
        <f t="shared" si="251"/>
        <v>14761.58635</v>
      </c>
      <c r="Q400" s="404">
        <f>Q401+Q402+Q409</f>
        <v>4531</v>
      </c>
      <c r="R400" s="404">
        <f>R401+R402+R409</f>
        <v>0</v>
      </c>
      <c r="S400" s="404">
        <f>S401+S402+S409</f>
        <v>9130.5863499999996</v>
      </c>
      <c r="T400" s="404">
        <f>T401+T402+T409</f>
        <v>1100</v>
      </c>
      <c r="U400" s="404">
        <f>U401+U402+U409</f>
        <v>0</v>
      </c>
      <c r="V400" s="174"/>
      <c r="W400" s="322"/>
    </row>
    <row r="401" spans="1:22" x14ac:dyDescent="0.25">
      <c r="A401" s="469"/>
      <c r="B401" s="405" t="s">
        <v>136</v>
      </c>
      <c r="C401" s="404">
        <f t="shared" ref="C401:C417" si="274">SUM(D401:H401)</f>
        <v>8926.6</v>
      </c>
      <c r="D401" s="402">
        <v>0</v>
      </c>
      <c r="E401" s="21">
        <v>0</v>
      </c>
      <c r="F401" s="73">
        <v>7826.6</v>
      </c>
      <c r="G401" s="21">
        <v>1100</v>
      </c>
      <c r="H401" s="21">
        <v>0</v>
      </c>
      <c r="I401" s="404">
        <f t="shared" si="271"/>
        <v>9014.2200000000012</v>
      </c>
      <c r="J401" s="21">
        <v>0</v>
      </c>
      <c r="K401" s="21">
        <v>0</v>
      </c>
      <c r="L401" s="73">
        <v>7914.22</v>
      </c>
      <c r="M401" s="21">
        <v>1100</v>
      </c>
      <c r="N401" s="21">
        <v>0</v>
      </c>
      <c r="O401" s="117"/>
      <c r="P401" s="404">
        <f t="shared" si="251"/>
        <v>8995.8567199999998</v>
      </c>
      <c r="Q401" s="21">
        <v>0</v>
      </c>
      <c r="R401" s="21">
        <v>0</v>
      </c>
      <c r="S401" s="73">
        <v>7895.8567199999998</v>
      </c>
      <c r="T401" s="21">
        <v>1100</v>
      </c>
      <c r="U401" s="21">
        <v>0</v>
      </c>
      <c r="V401" s="424"/>
    </row>
    <row r="402" spans="1:22" x14ac:dyDescent="0.25">
      <c r="A402" s="469"/>
      <c r="B402" s="405" t="s">
        <v>314</v>
      </c>
      <c r="C402" s="404">
        <f t="shared" si="274"/>
        <v>250</v>
      </c>
      <c r="D402" s="402">
        <f t="shared" ref="D402:S402" si="275">D403+D407</f>
        <v>0</v>
      </c>
      <c r="E402" s="21">
        <f t="shared" si="275"/>
        <v>0</v>
      </c>
      <c r="F402" s="132">
        <f>F403+F407</f>
        <v>250</v>
      </c>
      <c r="G402" s="21">
        <f t="shared" si="275"/>
        <v>0</v>
      </c>
      <c r="H402" s="21">
        <f t="shared" si="275"/>
        <v>0</v>
      </c>
      <c r="I402" s="404">
        <f t="shared" si="271"/>
        <v>167.85962999999998</v>
      </c>
      <c r="J402" s="21">
        <f t="shared" si="275"/>
        <v>0</v>
      </c>
      <c r="K402" s="21">
        <f t="shared" si="275"/>
        <v>0</v>
      </c>
      <c r="L402" s="21">
        <f t="shared" si="275"/>
        <v>167.85962999999998</v>
      </c>
      <c r="M402" s="21">
        <f t="shared" si="275"/>
        <v>0</v>
      </c>
      <c r="N402" s="21">
        <f t="shared" si="275"/>
        <v>0</v>
      </c>
      <c r="O402" s="21" t="e">
        <f t="shared" si="275"/>
        <v>#REF!</v>
      </c>
      <c r="P402" s="404">
        <f t="shared" si="251"/>
        <v>167.85962999999998</v>
      </c>
      <c r="Q402" s="21">
        <f t="shared" si="275"/>
        <v>0</v>
      </c>
      <c r="R402" s="21">
        <f t="shared" si="275"/>
        <v>0</v>
      </c>
      <c r="S402" s="21">
        <f t="shared" si="275"/>
        <v>167.85962999999998</v>
      </c>
      <c r="T402" s="402">
        <v>0</v>
      </c>
      <c r="U402" s="21">
        <f>U403+U407</f>
        <v>0</v>
      </c>
    </row>
    <row r="403" spans="1:22" x14ac:dyDescent="0.25">
      <c r="A403" s="469"/>
      <c r="B403" s="157" t="s">
        <v>1022</v>
      </c>
      <c r="C403" s="404">
        <f t="shared" si="274"/>
        <v>250</v>
      </c>
      <c r="D403" s="132">
        <f t="shared" ref="D403:S403" si="276">D404+D405+D406</f>
        <v>0</v>
      </c>
      <c r="E403" s="132">
        <f t="shared" si="276"/>
        <v>0</v>
      </c>
      <c r="F403" s="132">
        <f>F404+F405+F406</f>
        <v>250</v>
      </c>
      <c r="G403" s="132">
        <f t="shared" si="276"/>
        <v>0</v>
      </c>
      <c r="H403" s="132">
        <f t="shared" si="276"/>
        <v>0</v>
      </c>
      <c r="I403" s="404">
        <f t="shared" si="271"/>
        <v>167.85962999999998</v>
      </c>
      <c r="J403" s="132">
        <f t="shared" si="276"/>
        <v>0</v>
      </c>
      <c r="K403" s="132">
        <f t="shared" si="276"/>
        <v>0</v>
      </c>
      <c r="L403" s="132">
        <f t="shared" si="276"/>
        <v>167.85962999999998</v>
      </c>
      <c r="M403" s="132">
        <f t="shared" si="276"/>
        <v>0</v>
      </c>
      <c r="N403" s="132">
        <f t="shared" si="276"/>
        <v>0</v>
      </c>
      <c r="O403" s="132">
        <f t="shared" si="276"/>
        <v>0</v>
      </c>
      <c r="P403" s="404">
        <f t="shared" si="251"/>
        <v>167.85962999999998</v>
      </c>
      <c r="Q403" s="132">
        <f t="shared" si="276"/>
        <v>0</v>
      </c>
      <c r="R403" s="132">
        <f t="shared" si="276"/>
        <v>0</v>
      </c>
      <c r="S403" s="132">
        <f t="shared" si="276"/>
        <v>167.85962999999998</v>
      </c>
      <c r="T403" s="402">
        <v>0</v>
      </c>
      <c r="U403" s="132">
        <f>U404+U405+U406</f>
        <v>0</v>
      </c>
    </row>
    <row r="404" spans="1:22" ht="31.5" x14ac:dyDescent="0.25">
      <c r="A404" s="469"/>
      <c r="B404" s="157" t="s">
        <v>315</v>
      </c>
      <c r="C404" s="404">
        <f t="shared" si="274"/>
        <v>120</v>
      </c>
      <c r="D404" s="402">
        <v>0</v>
      </c>
      <c r="E404" s="402">
        <v>0</v>
      </c>
      <c r="F404" s="84">
        <v>120</v>
      </c>
      <c r="G404" s="402">
        <v>0</v>
      </c>
      <c r="H404" s="402">
        <v>0</v>
      </c>
      <c r="I404" s="404">
        <f t="shared" si="271"/>
        <v>22.652000000000001</v>
      </c>
      <c r="J404" s="402">
        <v>0</v>
      </c>
      <c r="K404" s="402">
        <v>0</v>
      </c>
      <c r="L404" s="442">
        <v>22.652000000000001</v>
      </c>
      <c r="M404" s="402">
        <v>0</v>
      </c>
      <c r="N404" s="402">
        <v>0</v>
      </c>
      <c r="O404" s="402">
        <v>0</v>
      </c>
      <c r="P404" s="404">
        <f t="shared" si="251"/>
        <v>22.652000000000001</v>
      </c>
      <c r="Q404" s="402">
        <v>0</v>
      </c>
      <c r="R404" s="402">
        <v>0</v>
      </c>
      <c r="S404" s="475">
        <v>22.652000000000001</v>
      </c>
      <c r="T404" s="402">
        <v>0</v>
      </c>
      <c r="U404" s="402">
        <v>0</v>
      </c>
    </row>
    <row r="405" spans="1:22" ht="18" customHeight="1" x14ac:dyDescent="0.25">
      <c r="A405" s="469"/>
      <c r="B405" s="409" t="s">
        <v>316</v>
      </c>
      <c r="C405" s="404">
        <f t="shared" si="274"/>
        <v>50</v>
      </c>
      <c r="D405" s="402">
        <v>0</v>
      </c>
      <c r="E405" s="402">
        <v>0</v>
      </c>
      <c r="F405" s="84">
        <v>50</v>
      </c>
      <c r="G405" s="402">
        <v>0</v>
      </c>
      <c r="H405" s="402">
        <v>0</v>
      </c>
      <c r="I405" s="404">
        <f t="shared" si="271"/>
        <v>75</v>
      </c>
      <c r="J405" s="402">
        <v>0</v>
      </c>
      <c r="K405" s="402">
        <v>0</v>
      </c>
      <c r="L405" s="442">
        <v>75</v>
      </c>
      <c r="M405" s="402">
        <v>0</v>
      </c>
      <c r="N405" s="402">
        <v>0</v>
      </c>
      <c r="O405" s="402">
        <v>0</v>
      </c>
      <c r="P405" s="404">
        <f t="shared" si="251"/>
        <v>75</v>
      </c>
      <c r="Q405" s="402">
        <v>0</v>
      </c>
      <c r="R405" s="402">
        <v>0</v>
      </c>
      <c r="S405" s="475">
        <v>75</v>
      </c>
      <c r="T405" s="402">
        <v>0</v>
      </c>
      <c r="U405" s="402">
        <v>0</v>
      </c>
    </row>
    <row r="406" spans="1:22" ht="18.75" customHeight="1" x14ac:dyDescent="0.25">
      <c r="A406" s="469"/>
      <c r="B406" s="157" t="s">
        <v>317</v>
      </c>
      <c r="C406" s="404">
        <f t="shared" si="274"/>
        <v>80</v>
      </c>
      <c r="D406" s="402">
        <v>0</v>
      </c>
      <c r="E406" s="402">
        <v>0</v>
      </c>
      <c r="F406" s="84">
        <v>80</v>
      </c>
      <c r="G406" s="402">
        <v>0</v>
      </c>
      <c r="H406" s="402">
        <v>0</v>
      </c>
      <c r="I406" s="404">
        <f t="shared" si="271"/>
        <v>70.207629999999995</v>
      </c>
      <c r="J406" s="402">
        <v>0</v>
      </c>
      <c r="K406" s="402">
        <v>0</v>
      </c>
      <c r="L406" s="442">
        <v>70.207629999999995</v>
      </c>
      <c r="M406" s="402">
        <v>0</v>
      </c>
      <c r="N406" s="402">
        <v>0</v>
      </c>
      <c r="O406" s="402">
        <v>0</v>
      </c>
      <c r="P406" s="404">
        <f t="shared" si="251"/>
        <v>70.207629999999995</v>
      </c>
      <c r="Q406" s="402">
        <v>0</v>
      </c>
      <c r="R406" s="402">
        <v>0</v>
      </c>
      <c r="S406" s="475">
        <v>70.207629999999995</v>
      </c>
      <c r="T406" s="402">
        <v>0</v>
      </c>
      <c r="U406" s="402">
        <v>0</v>
      </c>
    </row>
    <row r="407" spans="1:22" hidden="1" x14ac:dyDescent="0.25">
      <c r="A407" s="469"/>
      <c r="B407" s="157" t="s">
        <v>314</v>
      </c>
      <c r="C407" s="404">
        <f t="shared" si="274"/>
        <v>0</v>
      </c>
      <c r="D407" s="402">
        <v>0</v>
      </c>
      <c r="E407" s="402">
        <v>0</v>
      </c>
      <c r="F407" s="402">
        <v>0</v>
      </c>
      <c r="G407" s="402">
        <v>0</v>
      </c>
      <c r="H407" s="402">
        <v>0</v>
      </c>
      <c r="I407" s="404">
        <f t="shared" si="271"/>
        <v>0</v>
      </c>
      <c r="J407" s="402">
        <v>0</v>
      </c>
      <c r="K407" s="402">
        <v>0</v>
      </c>
      <c r="L407" s="403">
        <v>0</v>
      </c>
      <c r="M407" s="402">
        <v>0</v>
      </c>
      <c r="N407" s="402">
        <v>0</v>
      </c>
      <c r="O407" s="132" t="e">
        <f>O408+#REF!</f>
        <v>#REF!</v>
      </c>
      <c r="P407" s="404">
        <f t="shared" si="251"/>
        <v>0</v>
      </c>
      <c r="Q407" s="402">
        <v>0</v>
      </c>
      <c r="R407" s="402">
        <v>0</v>
      </c>
      <c r="S407" s="402">
        <v>0</v>
      </c>
      <c r="T407" s="402">
        <v>0</v>
      </c>
      <c r="U407" s="402">
        <v>0</v>
      </c>
    </row>
    <row r="408" spans="1:22" hidden="1" x14ac:dyDescent="0.25">
      <c r="A408" s="469"/>
      <c r="B408" s="157" t="s">
        <v>318</v>
      </c>
      <c r="C408" s="404">
        <f t="shared" si="274"/>
        <v>0</v>
      </c>
      <c r="D408" s="402">
        <v>0</v>
      </c>
      <c r="E408" s="402">
        <v>0</v>
      </c>
      <c r="F408" s="84">
        <v>0</v>
      </c>
      <c r="G408" s="402">
        <v>0</v>
      </c>
      <c r="H408" s="402">
        <v>0</v>
      </c>
      <c r="I408" s="404">
        <f t="shared" si="271"/>
        <v>0</v>
      </c>
      <c r="J408" s="402">
        <v>0</v>
      </c>
      <c r="K408" s="402">
        <v>0</v>
      </c>
      <c r="L408" s="71">
        <v>0</v>
      </c>
      <c r="M408" s="402">
        <v>0</v>
      </c>
      <c r="N408" s="402">
        <v>0</v>
      </c>
      <c r="O408" s="402">
        <v>0</v>
      </c>
      <c r="P408" s="404">
        <f t="shared" si="251"/>
        <v>0</v>
      </c>
      <c r="Q408" s="402">
        <v>0</v>
      </c>
      <c r="R408" s="402">
        <v>0</v>
      </c>
      <c r="S408" s="402"/>
      <c r="T408" s="402">
        <v>0</v>
      </c>
      <c r="U408" s="402">
        <v>0</v>
      </c>
    </row>
    <row r="409" spans="1:22" ht="20.25" customHeight="1" x14ac:dyDescent="0.25">
      <c r="A409" s="469"/>
      <c r="B409" s="405" t="s">
        <v>319</v>
      </c>
      <c r="C409" s="404">
        <f t="shared" si="274"/>
        <v>5605.9</v>
      </c>
      <c r="D409" s="132">
        <f>D410+D412+D416</f>
        <v>4531</v>
      </c>
      <c r="E409" s="132">
        <f>E410+E412+E416</f>
        <v>0</v>
      </c>
      <c r="F409" s="132">
        <f>F410+F412+F416</f>
        <v>1074.9000000000001</v>
      </c>
      <c r="G409" s="132">
        <f>G410+G412+G416</f>
        <v>0</v>
      </c>
      <c r="H409" s="132">
        <f>H410+H412+H416</f>
        <v>0</v>
      </c>
      <c r="I409" s="404">
        <f t="shared" si="271"/>
        <v>5688.0403699999997</v>
      </c>
      <c r="J409" s="132">
        <f t="shared" ref="J409:O409" si="277">J410+J412+J416</f>
        <v>4531</v>
      </c>
      <c r="K409" s="132">
        <f t="shared" si="277"/>
        <v>0</v>
      </c>
      <c r="L409" s="68">
        <f t="shared" si="277"/>
        <v>1157.0403699999999</v>
      </c>
      <c r="M409" s="132">
        <f t="shared" si="277"/>
        <v>0</v>
      </c>
      <c r="N409" s="132">
        <f t="shared" si="277"/>
        <v>0</v>
      </c>
      <c r="O409" s="132" t="e">
        <f t="shared" si="277"/>
        <v>#REF!</v>
      </c>
      <c r="P409" s="404">
        <f t="shared" si="251"/>
        <v>5597.87</v>
      </c>
      <c r="Q409" s="132">
        <f>Q410+Q412+Q416</f>
        <v>4531</v>
      </c>
      <c r="R409" s="132">
        <f>R410+R412+R416</f>
        <v>0</v>
      </c>
      <c r="S409" s="132">
        <f>S410+S412+S416</f>
        <v>1066.8699999999999</v>
      </c>
      <c r="T409" s="402">
        <v>0</v>
      </c>
      <c r="U409" s="132">
        <f>U410+U412+U416</f>
        <v>0</v>
      </c>
      <c r="V409" s="322"/>
    </row>
    <row r="410" spans="1:22" ht="31.5" x14ac:dyDescent="0.25">
      <c r="A410" s="469"/>
      <c r="B410" s="157" t="s">
        <v>320</v>
      </c>
      <c r="C410" s="404">
        <f t="shared" si="274"/>
        <v>554.9</v>
      </c>
      <c r="D410" s="132">
        <v>0</v>
      </c>
      <c r="E410" s="132">
        <v>0</v>
      </c>
      <c r="F410" s="132">
        <v>554.9</v>
      </c>
      <c r="G410" s="132">
        <v>0</v>
      </c>
      <c r="H410" s="132">
        <v>0</v>
      </c>
      <c r="I410" s="404">
        <f t="shared" si="271"/>
        <v>642.94336999999996</v>
      </c>
      <c r="J410" s="132">
        <v>0</v>
      </c>
      <c r="K410" s="132">
        <v>0</v>
      </c>
      <c r="L410" s="476">
        <v>642.94336999999996</v>
      </c>
      <c r="M410" s="132">
        <v>0</v>
      </c>
      <c r="N410" s="132">
        <v>0</v>
      </c>
      <c r="O410" s="132" t="e">
        <f>O411+#REF!+#REF!</f>
        <v>#REF!</v>
      </c>
      <c r="P410" s="404">
        <f t="shared" si="251"/>
        <v>642.90300000000002</v>
      </c>
      <c r="Q410" s="132">
        <v>0</v>
      </c>
      <c r="R410" s="132">
        <v>0</v>
      </c>
      <c r="S410" s="476">
        <v>642.90300000000002</v>
      </c>
      <c r="T410" s="402">
        <v>0</v>
      </c>
      <c r="U410" s="132">
        <v>0</v>
      </c>
    </row>
    <row r="411" spans="1:22" ht="29.25" customHeight="1" x14ac:dyDescent="0.25">
      <c r="A411" s="469"/>
      <c r="B411" s="157" t="s">
        <v>321</v>
      </c>
      <c r="C411" s="404">
        <f t="shared" si="274"/>
        <v>554.9</v>
      </c>
      <c r="D411" s="402">
        <v>0</v>
      </c>
      <c r="E411" s="402">
        <v>0</v>
      </c>
      <c r="F411" s="84">
        <v>554.9</v>
      </c>
      <c r="G411" s="402">
        <v>0</v>
      </c>
      <c r="H411" s="402">
        <v>0</v>
      </c>
      <c r="I411" s="404">
        <f t="shared" si="271"/>
        <v>642.94336999999996</v>
      </c>
      <c r="J411" s="402">
        <v>0</v>
      </c>
      <c r="K411" s="402">
        <v>0</v>
      </c>
      <c r="L411" s="442">
        <v>642.94336999999996</v>
      </c>
      <c r="M411" s="402">
        <v>0</v>
      </c>
      <c r="N411" s="402">
        <v>0</v>
      </c>
      <c r="O411" s="402">
        <v>0</v>
      </c>
      <c r="P411" s="404">
        <f t="shared" si="251"/>
        <v>642.90300000000002</v>
      </c>
      <c r="Q411" s="402">
        <v>0</v>
      </c>
      <c r="R411" s="402">
        <v>0</v>
      </c>
      <c r="S411" s="442">
        <v>642.90300000000002</v>
      </c>
      <c r="T411" s="402">
        <v>0</v>
      </c>
      <c r="U411" s="402">
        <v>0</v>
      </c>
    </row>
    <row r="412" spans="1:22" ht="35.25" customHeight="1" x14ac:dyDescent="0.25">
      <c r="A412" s="469"/>
      <c r="B412" s="157" t="s">
        <v>322</v>
      </c>
      <c r="C412" s="404">
        <f t="shared" si="274"/>
        <v>4821</v>
      </c>
      <c r="D412" s="132">
        <f t="shared" ref="D412:S412" si="278">D413+D414+D415</f>
        <v>4531</v>
      </c>
      <c r="E412" s="132">
        <f t="shared" si="278"/>
        <v>0</v>
      </c>
      <c r="F412" s="132">
        <f t="shared" si="278"/>
        <v>290</v>
      </c>
      <c r="G412" s="132">
        <f t="shared" si="278"/>
        <v>0</v>
      </c>
      <c r="H412" s="132">
        <f t="shared" si="278"/>
        <v>0</v>
      </c>
      <c r="I412" s="404">
        <f t="shared" si="271"/>
        <v>4821</v>
      </c>
      <c r="J412" s="132">
        <f t="shared" si="278"/>
        <v>4531</v>
      </c>
      <c r="K412" s="132">
        <f t="shared" si="278"/>
        <v>0</v>
      </c>
      <c r="L412" s="68">
        <f t="shared" si="278"/>
        <v>290</v>
      </c>
      <c r="M412" s="132">
        <f t="shared" si="278"/>
        <v>0</v>
      </c>
      <c r="N412" s="132">
        <f t="shared" si="278"/>
        <v>0</v>
      </c>
      <c r="O412" s="132">
        <f t="shared" si="278"/>
        <v>0</v>
      </c>
      <c r="P412" s="404">
        <f t="shared" si="251"/>
        <v>4730.87</v>
      </c>
      <c r="Q412" s="132">
        <f t="shared" si="278"/>
        <v>4531</v>
      </c>
      <c r="R412" s="132">
        <f t="shared" si="278"/>
        <v>0</v>
      </c>
      <c r="S412" s="132">
        <f t="shared" si="278"/>
        <v>199.87</v>
      </c>
      <c r="T412" s="402">
        <v>0</v>
      </c>
      <c r="U412" s="132">
        <f>U413+U414+U415</f>
        <v>0</v>
      </c>
    </row>
    <row r="413" spans="1:22" ht="19.5" customHeight="1" x14ac:dyDescent="0.25">
      <c r="A413" s="469"/>
      <c r="B413" s="157" t="s">
        <v>323</v>
      </c>
      <c r="C413" s="404">
        <f t="shared" si="274"/>
        <v>90</v>
      </c>
      <c r="D413" s="402">
        <v>0</v>
      </c>
      <c r="E413" s="402">
        <v>0</v>
      </c>
      <c r="F413" s="84">
        <v>90</v>
      </c>
      <c r="G413" s="402">
        <v>0</v>
      </c>
      <c r="H413" s="402">
        <v>0</v>
      </c>
      <c r="I413" s="404">
        <f t="shared" si="271"/>
        <v>90</v>
      </c>
      <c r="J413" s="402">
        <v>0</v>
      </c>
      <c r="K413" s="402">
        <v>0</v>
      </c>
      <c r="L413" s="71">
        <v>90</v>
      </c>
      <c r="M413" s="402">
        <v>0</v>
      </c>
      <c r="N413" s="402">
        <v>0</v>
      </c>
      <c r="O413" s="402">
        <v>0</v>
      </c>
      <c r="P413" s="404">
        <f t="shared" ref="P413:P476" si="279">SUM(Q413:U413)</f>
        <v>0</v>
      </c>
      <c r="Q413" s="402">
        <v>0</v>
      </c>
      <c r="R413" s="402">
        <v>0</v>
      </c>
      <c r="S413" s="169">
        <v>0</v>
      </c>
      <c r="T413" s="402">
        <v>0</v>
      </c>
      <c r="U413" s="402">
        <v>0</v>
      </c>
    </row>
    <row r="414" spans="1:22" ht="19.5" customHeight="1" x14ac:dyDescent="0.25">
      <c r="A414" s="469"/>
      <c r="B414" s="157" t="s">
        <v>324</v>
      </c>
      <c r="C414" s="404">
        <f t="shared" si="274"/>
        <v>4731</v>
      </c>
      <c r="D414" s="402">
        <v>4531</v>
      </c>
      <c r="E414" s="402">
        <v>0</v>
      </c>
      <c r="F414" s="84">
        <v>200</v>
      </c>
      <c r="G414" s="402">
        <v>0</v>
      </c>
      <c r="H414" s="402">
        <v>0</v>
      </c>
      <c r="I414" s="404">
        <f t="shared" si="271"/>
        <v>4731</v>
      </c>
      <c r="J414" s="219">
        <v>4531</v>
      </c>
      <c r="K414" s="219"/>
      <c r="L414" s="169">
        <v>200</v>
      </c>
      <c r="M414" s="402">
        <v>0</v>
      </c>
      <c r="N414" s="402">
        <v>0</v>
      </c>
      <c r="O414" s="402">
        <v>0</v>
      </c>
      <c r="P414" s="404">
        <f t="shared" si="279"/>
        <v>4730.87</v>
      </c>
      <c r="Q414" s="403">
        <v>4531</v>
      </c>
      <c r="R414" s="402">
        <v>0</v>
      </c>
      <c r="S414" s="169">
        <v>199.87</v>
      </c>
      <c r="T414" s="402">
        <v>0</v>
      </c>
      <c r="U414" s="402">
        <v>0</v>
      </c>
    </row>
    <row r="415" spans="1:22" hidden="1" x14ac:dyDescent="0.25">
      <c r="A415" s="469"/>
      <c r="B415" s="157"/>
      <c r="C415" s="404">
        <f t="shared" si="274"/>
        <v>0</v>
      </c>
      <c r="D415" s="402">
        <v>0</v>
      </c>
      <c r="E415" s="402">
        <v>0</v>
      </c>
      <c r="F415" s="84">
        <v>0</v>
      </c>
      <c r="G415" s="402">
        <v>0</v>
      </c>
      <c r="H415" s="402">
        <v>0</v>
      </c>
      <c r="I415" s="404">
        <f t="shared" si="271"/>
        <v>0</v>
      </c>
      <c r="J415" s="402">
        <v>0</v>
      </c>
      <c r="K415" s="402">
        <v>0</v>
      </c>
      <c r="L415" s="71">
        <v>0</v>
      </c>
      <c r="M415" s="402">
        <v>0</v>
      </c>
      <c r="N415" s="402">
        <v>0</v>
      </c>
      <c r="O415" s="402">
        <v>0</v>
      </c>
      <c r="P415" s="404">
        <f t="shared" si="279"/>
        <v>0</v>
      </c>
      <c r="Q415" s="402">
        <v>0</v>
      </c>
      <c r="R415" s="402">
        <v>0</v>
      </c>
      <c r="S415" s="402"/>
      <c r="T415" s="402">
        <v>0</v>
      </c>
      <c r="U415" s="402">
        <v>0</v>
      </c>
    </row>
    <row r="416" spans="1:22" ht="31.5" x14ac:dyDescent="0.25">
      <c r="A416" s="469"/>
      <c r="B416" s="157" t="s">
        <v>325</v>
      </c>
      <c r="C416" s="404">
        <f t="shared" si="274"/>
        <v>230</v>
      </c>
      <c r="D416" s="132">
        <f t="shared" ref="D416:U416" si="280">D417+D418</f>
        <v>0</v>
      </c>
      <c r="E416" s="132">
        <f t="shared" si="280"/>
        <v>0</v>
      </c>
      <c r="F416" s="132">
        <f t="shared" si="280"/>
        <v>230</v>
      </c>
      <c r="G416" s="132">
        <f t="shared" si="280"/>
        <v>0</v>
      </c>
      <c r="H416" s="132">
        <f t="shared" si="280"/>
        <v>0</v>
      </c>
      <c r="I416" s="404">
        <f t="shared" si="271"/>
        <v>224.09699999999998</v>
      </c>
      <c r="J416" s="132">
        <f t="shared" si="280"/>
        <v>0</v>
      </c>
      <c r="K416" s="132">
        <f t="shared" si="280"/>
        <v>0</v>
      </c>
      <c r="L416" s="68">
        <f t="shared" si="280"/>
        <v>224.09699999999998</v>
      </c>
      <c r="M416" s="132">
        <f t="shared" si="280"/>
        <v>0</v>
      </c>
      <c r="N416" s="132">
        <f t="shared" si="280"/>
        <v>0</v>
      </c>
      <c r="O416" s="132">
        <f t="shared" si="280"/>
        <v>2</v>
      </c>
      <c r="P416" s="404">
        <f t="shared" si="279"/>
        <v>224.09699999999998</v>
      </c>
      <c r="Q416" s="132">
        <f t="shared" si="280"/>
        <v>0</v>
      </c>
      <c r="R416" s="132">
        <f t="shared" si="280"/>
        <v>0</v>
      </c>
      <c r="S416" s="417">
        <f t="shared" si="280"/>
        <v>224.09699999999998</v>
      </c>
      <c r="T416" s="402">
        <v>0</v>
      </c>
      <c r="U416" s="132">
        <f t="shared" si="280"/>
        <v>0</v>
      </c>
    </row>
    <row r="417" spans="1:22" ht="18.75" customHeight="1" x14ac:dyDescent="0.25">
      <c r="A417" s="469"/>
      <c r="B417" s="157" t="s">
        <v>326</v>
      </c>
      <c r="C417" s="404">
        <f t="shared" si="274"/>
        <v>95</v>
      </c>
      <c r="D417" s="402">
        <v>0</v>
      </c>
      <c r="E417" s="402">
        <v>0</v>
      </c>
      <c r="F417" s="84">
        <v>95</v>
      </c>
      <c r="G417" s="402">
        <v>0</v>
      </c>
      <c r="H417" s="402">
        <v>0</v>
      </c>
      <c r="I417" s="404">
        <f t="shared" si="271"/>
        <v>89.096999999999994</v>
      </c>
      <c r="J417" s="402">
        <v>0</v>
      </c>
      <c r="K417" s="402">
        <v>0</v>
      </c>
      <c r="L417" s="442">
        <v>89.096999999999994</v>
      </c>
      <c r="M417" s="402">
        <v>0</v>
      </c>
      <c r="N417" s="402">
        <v>0</v>
      </c>
      <c r="O417" s="402">
        <v>1</v>
      </c>
      <c r="P417" s="404">
        <f t="shared" si="279"/>
        <v>89.096999999999994</v>
      </c>
      <c r="Q417" s="402">
        <v>0</v>
      </c>
      <c r="R417" s="402">
        <v>0</v>
      </c>
      <c r="S417" s="418">
        <v>89.096999999999994</v>
      </c>
      <c r="T417" s="402">
        <v>0</v>
      </c>
      <c r="U417" s="402">
        <v>0</v>
      </c>
    </row>
    <row r="418" spans="1:22" ht="20.25" customHeight="1" x14ac:dyDescent="0.25">
      <c r="A418" s="469"/>
      <c r="B418" s="406" t="s">
        <v>327</v>
      </c>
      <c r="C418" s="404">
        <f>SUM(D418:H418)</f>
        <v>135</v>
      </c>
      <c r="D418" s="402">
        <v>0</v>
      </c>
      <c r="E418" s="402">
        <v>0</v>
      </c>
      <c r="F418" s="84">
        <v>135</v>
      </c>
      <c r="G418" s="402">
        <v>0</v>
      </c>
      <c r="H418" s="402">
        <v>0</v>
      </c>
      <c r="I418" s="404">
        <f t="shared" si="271"/>
        <v>135</v>
      </c>
      <c r="J418" s="402">
        <v>0</v>
      </c>
      <c r="K418" s="402">
        <v>0</v>
      </c>
      <c r="L418" s="71">
        <v>135</v>
      </c>
      <c r="M418" s="402">
        <v>0</v>
      </c>
      <c r="N418" s="402">
        <v>0</v>
      </c>
      <c r="O418" s="402">
        <v>1</v>
      </c>
      <c r="P418" s="404">
        <f t="shared" si="279"/>
        <v>135</v>
      </c>
      <c r="Q418" s="402">
        <v>0</v>
      </c>
      <c r="R418" s="402">
        <v>0</v>
      </c>
      <c r="S418" s="169">
        <v>135</v>
      </c>
      <c r="T418" s="402">
        <v>0</v>
      </c>
      <c r="U418" s="402">
        <v>0</v>
      </c>
    </row>
    <row r="419" spans="1:22" x14ac:dyDescent="0.25">
      <c r="A419" s="52">
        <v>19</v>
      </c>
      <c r="B419" s="142" t="s">
        <v>781</v>
      </c>
      <c r="C419" s="145">
        <f>SUM(D419:H419)</f>
        <v>1289065.514</v>
      </c>
      <c r="D419" s="32">
        <f>D420+D429+D440+D454+D478+D481</f>
        <v>116314.7</v>
      </c>
      <c r="E419" s="32">
        <f>E420+E429+E440+E454+E478+E481</f>
        <v>687187.4</v>
      </c>
      <c r="F419" s="32">
        <f>F420+F429+F440+F454+F478+F481</f>
        <v>468699.614</v>
      </c>
      <c r="G419" s="32">
        <v>0</v>
      </c>
      <c r="H419" s="32">
        <f>H420+H429+H440+H454+H478+H481</f>
        <v>16863.8</v>
      </c>
      <c r="I419" s="404">
        <f t="shared" si="271"/>
        <v>1275623.59445</v>
      </c>
      <c r="J419" s="32">
        <f>J420+J429+J440+J454+J478+J481</f>
        <v>127706.13373</v>
      </c>
      <c r="K419" s="32">
        <f>K420+K429+K440+K454+K478+K481</f>
        <v>663745.87760999997</v>
      </c>
      <c r="L419" s="32">
        <f>L420+L429+L440+L454+L478+L481</f>
        <v>471049.32280999993</v>
      </c>
      <c r="M419" s="32">
        <v>0</v>
      </c>
      <c r="N419" s="32">
        <f>N420+N429+N440+N454+N478+N481</f>
        <v>13122.2603</v>
      </c>
      <c r="O419" s="111"/>
      <c r="P419" s="477">
        <v>1267192.9320499999</v>
      </c>
      <c r="Q419" s="478">
        <v>127706.13373</v>
      </c>
      <c r="R419" s="478">
        <v>657234.80992000015</v>
      </c>
      <c r="S419" s="478">
        <v>469155.44436999992</v>
      </c>
      <c r="T419" s="32">
        <v>0</v>
      </c>
      <c r="U419" s="32">
        <f>U420+U429+U440+U454+U478+U481</f>
        <v>13096.544030000001</v>
      </c>
      <c r="V419" s="174"/>
    </row>
    <row r="420" spans="1:22" ht="22.5" customHeight="1" x14ac:dyDescent="0.25">
      <c r="A420" s="469"/>
      <c r="B420" s="718" t="s">
        <v>328</v>
      </c>
      <c r="C420" s="127">
        <f>SUM(D420:H420)</f>
        <v>316521.81999999995</v>
      </c>
      <c r="D420" s="41">
        <f>D421+D424+D427+D428</f>
        <v>0</v>
      </c>
      <c r="E420" s="41">
        <f t="shared" ref="E420:F420" si="281">E421+E424+E427+E428</f>
        <v>162484.59999999998</v>
      </c>
      <c r="F420" s="41">
        <f t="shared" si="281"/>
        <v>141203.22</v>
      </c>
      <c r="G420" s="41">
        <v>0</v>
      </c>
      <c r="H420" s="41">
        <f t="shared" ref="H420" si="282">H421+H424+H427+H428</f>
        <v>12834</v>
      </c>
      <c r="I420" s="404">
        <f t="shared" si="271"/>
        <v>324211.09378</v>
      </c>
      <c r="J420" s="41">
        <f t="shared" ref="J420" si="283">J421+J424+J427+J428</f>
        <v>0</v>
      </c>
      <c r="K420" s="479">
        <v>178732.5</v>
      </c>
      <c r="L420" s="479">
        <v>135826.14382</v>
      </c>
      <c r="M420" s="41"/>
      <c r="N420" s="479">
        <v>9652.4499599999999</v>
      </c>
      <c r="O420" s="171"/>
      <c r="P420" s="404">
        <f t="shared" si="279"/>
        <v>320674.38957</v>
      </c>
      <c r="Q420" s="41">
        <f>Q421+Q424+Q427+Q428</f>
        <v>0</v>
      </c>
      <c r="R420" s="480">
        <v>177122.49188999998</v>
      </c>
      <c r="S420" s="480">
        <v>133899.44772</v>
      </c>
      <c r="T420" s="41">
        <v>0</v>
      </c>
      <c r="U420" s="480">
        <v>9652.4499599999999</v>
      </c>
    </row>
    <row r="421" spans="1:22" ht="31.5" x14ac:dyDescent="0.25">
      <c r="A421" s="469"/>
      <c r="B421" s="715" t="s">
        <v>329</v>
      </c>
      <c r="C421" s="127">
        <f>SUM(D421:H421)</f>
        <v>313246.42</v>
      </c>
      <c r="D421" s="86">
        <f t="shared" ref="D421:F421" si="284">SUM(D422:D423)</f>
        <v>0</v>
      </c>
      <c r="E421" s="86">
        <f t="shared" si="284"/>
        <v>160871.79999999999</v>
      </c>
      <c r="F421" s="86">
        <f t="shared" si="284"/>
        <v>139540.62</v>
      </c>
      <c r="G421" s="170">
        <v>0</v>
      </c>
      <c r="H421" s="86">
        <f t="shared" ref="H421" si="285">SUM(H422:H423)</f>
        <v>12834</v>
      </c>
      <c r="I421" s="404">
        <f t="shared" si="271"/>
        <v>320763.35777999996</v>
      </c>
      <c r="J421" s="86">
        <f t="shared" ref="J421" si="286">SUM(J422:J423)</f>
        <v>0</v>
      </c>
      <c r="K421" s="480">
        <v>177180.9</v>
      </c>
      <c r="L421" s="480">
        <v>133930.00782</v>
      </c>
      <c r="M421" s="86">
        <v>0</v>
      </c>
      <c r="N421" s="480">
        <v>9652.4499599999999</v>
      </c>
      <c r="O421" s="171"/>
      <c r="P421" s="404">
        <f t="shared" si="279"/>
        <v>320674.38957</v>
      </c>
      <c r="Q421" s="86">
        <f>SUM(Q422:Q423)</f>
        <v>0</v>
      </c>
      <c r="R421" s="480">
        <v>177122.49188999998</v>
      </c>
      <c r="S421" s="480">
        <v>133899.44772</v>
      </c>
      <c r="T421" s="480"/>
      <c r="U421" s="480">
        <v>9652.4499599999999</v>
      </c>
    </row>
    <row r="422" spans="1:22" ht="31.5" x14ac:dyDescent="0.25">
      <c r="A422" s="469"/>
      <c r="B422" s="716" t="s">
        <v>330</v>
      </c>
      <c r="C422" s="127">
        <f t="shared" ref="C422:C431" si="287">SUM(D422:H422)</f>
        <v>313246.42</v>
      </c>
      <c r="D422" s="170">
        <v>0</v>
      </c>
      <c r="E422" s="86">
        <f>160871.8</f>
        <v>160871.79999999999</v>
      </c>
      <c r="F422" s="86">
        <f>139540.62</f>
        <v>139540.62</v>
      </c>
      <c r="G422" s="170">
        <v>0</v>
      </c>
      <c r="H422" s="86">
        <f>12834</f>
        <v>12834</v>
      </c>
      <c r="I422" s="404">
        <f t="shared" si="271"/>
        <v>316702.75777999999</v>
      </c>
      <c r="J422" s="86">
        <v>0</v>
      </c>
      <c r="K422" s="481">
        <v>173120.3</v>
      </c>
      <c r="L422" s="481">
        <v>133930.00782</v>
      </c>
      <c r="M422" s="86">
        <v>0</v>
      </c>
      <c r="N422" s="482">
        <v>9652.4499599999999</v>
      </c>
      <c r="O422" s="170"/>
      <c r="P422" s="404">
        <f t="shared" si="279"/>
        <v>316672.19767999998</v>
      </c>
      <c r="Q422" s="86">
        <v>0</v>
      </c>
      <c r="R422" s="481">
        <v>173120.3</v>
      </c>
      <c r="S422" s="481">
        <v>133899.44772</v>
      </c>
      <c r="T422" s="481"/>
      <c r="U422" s="481">
        <v>9652.4499599999999</v>
      </c>
    </row>
    <row r="423" spans="1:22" ht="60.75" customHeight="1" x14ac:dyDescent="0.25">
      <c r="A423" s="469"/>
      <c r="B423" s="716" t="s">
        <v>331</v>
      </c>
      <c r="C423" s="127">
        <f t="shared" si="287"/>
        <v>0</v>
      </c>
      <c r="D423" s="170">
        <v>0</v>
      </c>
      <c r="E423" s="170">
        <v>0</v>
      </c>
      <c r="F423" s="170">
        <v>0</v>
      </c>
      <c r="G423" s="170">
        <v>0</v>
      </c>
      <c r="H423" s="170">
        <v>0</v>
      </c>
      <c r="I423" s="404">
        <f t="shared" si="271"/>
        <v>4060.6</v>
      </c>
      <c r="J423" s="86">
        <v>0</v>
      </c>
      <c r="K423" s="481">
        <v>4060.6</v>
      </c>
      <c r="L423" s="482"/>
      <c r="M423" s="86">
        <v>0</v>
      </c>
      <c r="N423" s="86">
        <v>0</v>
      </c>
      <c r="O423" s="170"/>
      <c r="P423" s="404">
        <f t="shared" si="279"/>
        <v>4002.1918900000001</v>
      </c>
      <c r="Q423" s="86">
        <v>0</v>
      </c>
      <c r="R423" s="481">
        <v>4002.1918900000001</v>
      </c>
      <c r="S423" s="482"/>
      <c r="T423" s="482"/>
      <c r="U423" s="482"/>
    </row>
    <row r="424" spans="1:22" ht="36" customHeight="1" x14ac:dyDescent="0.25">
      <c r="A424" s="469"/>
      <c r="B424" s="715" t="s">
        <v>332</v>
      </c>
      <c r="C424" s="127">
        <f t="shared" si="287"/>
        <v>3275.3999999999996</v>
      </c>
      <c r="D424" s="86">
        <f>SUM(D425:D426)</f>
        <v>0</v>
      </c>
      <c r="E424" s="86">
        <f>SUM(E425:E426)</f>
        <v>1612.8</v>
      </c>
      <c r="F424" s="86">
        <f>SUM(F425:F426)</f>
        <v>1662.6</v>
      </c>
      <c r="G424" s="86"/>
      <c r="H424" s="86">
        <f>SUM(H425:H426)</f>
        <v>0</v>
      </c>
      <c r="I424" s="404">
        <f t="shared" si="271"/>
        <v>3447.7359999999999</v>
      </c>
      <c r="J424" s="86">
        <f>SUM(J425:J426)</f>
        <v>0</v>
      </c>
      <c r="K424" s="481">
        <v>1551.6</v>
      </c>
      <c r="L424" s="481">
        <v>1896.136</v>
      </c>
      <c r="M424" s="86">
        <v>0</v>
      </c>
      <c r="N424" s="86">
        <f>SUM(N425:N426)</f>
        <v>0</v>
      </c>
      <c r="O424" s="171"/>
      <c r="P424" s="404">
        <f t="shared" si="279"/>
        <v>3292.3977</v>
      </c>
      <c r="Q424" s="86">
        <f>SUM(Q425:Q426)</f>
        <v>0</v>
      </c>
      <c r="R424" s="481">
        <v>1396.2617</v>
      </c>
      <c r="S424" s="481">
        <v>1896.136</v>
      </c>
      <c r="T424" s="481">
        <v>0</v>
      </c>
      <c r="U424" s="86">
        <f>SUM(U425:U426)</f>
        <v>0</v>
      </c>
    </row>
    <row r="425" spans="1:22" ht="20.25" customHeight="1" x14ac:dyDescent="0.25">
      <c r="A425" s="469"/>
      <c r="B425" s="716" t="s">
        <v>333</v>
      </c>
      <c r="C425" s="127">
        <f t="shared" si="287"/>
        <v>1662.6</v>
      </c>
      <c r="D425" s="170">
        <v>0</v>
      </c>
      <c r="E425" s="170">
        <v>0</v>
      </c>
      <c r="F425" s="86">
        <v>1662.6</v>
      </c>
      <c r="G425" s="170">
        <v>0</v>
      </c>
      <c r="H425" s="170">
        <v>0</v>
      </c>
      <c r="I425" s="404">
        <f t="shared" si="271"/>
        <v>1896.136</v>
      </c>
      <c r="J425" s="86">
        <v>0</v>
      </c>
      <c r="K425" s="481"/>
      <c r="L425" s="481">
        <v>1896.136</v>
      </c>
      <c r="M425" s="86">
        <v>0</v>
      </c>
      <c r="N425" s="86">
        <v>0</v>
      </c>
      <c r="O425" s="171"/>
      <c r="P425" s="404">
        <f t="shared" si="279"/>
        <v>1896.136</v>
      </c>
      <c r="Q425" s="86">
        <v>0</v>
      </c>
      <c r="R425" s="481"/>
      <c r="S425" s="481">
        <v>1896.136</v>
      </c>
      <c r="T425" s="481"/>
      <c r="U425" s="86">
        <v>0</v>
      </c>
    </row>
    <row r="426" spans="1:22" ht="46.5" customHeight="1" x14ac:dyDescent="0.25">
      <c r="A426" s="469"/>
      <c r="B426" s="716" t="s">
        <v>334</v>
      </c>
      <c r="C426" s="127">
        <f t="shared" si="287"/>
        <v>1612.8</v>
      </c>
      <c r="D426" s="170">
        <v>0</v>
      </c>
      <c r="E426" s="86">
        <v>1612.8</v>
      </c>
      <c r="F426" s="170">
        <v>0</v>
      </c>
      <c r="G426" s="170">
        <v>0</v>
      </c>
      <c r="H426" s="170">
        <v>0</v>
      </c>
      <c r="I426" s="404">
        <f t="shared" si="271"/>
        <v>1551.6</v>
      </c>
      <c r="J426" s="86">
        <v>0</v>
      </c>
      <c r="K426" s="481">
        <v>1551.6</v>
      </c>
      <c r="L426" s="481"/>
      <c r="M426" s="86">
        <v>0</v>
      </c>
      <c r="N426" s="86">
        <v>0</v>
      </c>
      <c r="O426" s="171"/>
      <c r="P426" s="404">
        <f t="shared" si="279"/>
        <v>1396.2617</v>
      </c>
      <c r="Q426" s="86">
        <v>0</v>
      </c>
      <c r="R426" s="481">
        <v>1396.2617</v>
      </c>
      <c r="S426" s="481"/>
      <c r="T426" s="481"/>
      <c r="U426" s="86">
        <v>0</v>
      </c>
    </row>
    <row r="427" spans="1:22" ht="31.5" hidden="1" customHeight="1" x14ac:dyDescent="0.25">
      <c r="A427" s="469"/>
      <c r="B427" s="715" t="s">
        <v>335</v>
      </c>
      <c r="C427" s="127">
        <f t="shared" si="287"/>
        <v>0</v>
      </c>
      <c r="D427" s="86"/>
      <c r="E427" s="86"/>
      <c r="F427" s="86"/>
      <c r="G427" s="86"/>
      <c r="H427" s="86"/>
      <c r="I427" s="404">
        <f t="shared" si="271"/>
        <v>0</v>
      </c>
      <c r="J427" s="86"/>
      <c r="K427" s="480"/>
      <c r="L427" s="480"/>
      <c r="M427" s="86"/>
      <c r="N427" s="86"/>
      <c r="O427" s="171"/>
      <c r="P427" s="404">
        <f t="shared" si="279"/>
        <v>0</v>
      </c>
      <c r="Q427" s="86"/>
      <c r="R427" s="86"/>
      <c r="S427" s="86"/>
      <c r="T427" s="86"/>
      <c r="U427" s="86"/>
    </row>
    <row r="428" spans="1:22" ht="15.75" hidden="1" customHeight="1" x14ac:dyDescent="0.25">
      <c r="A428" s="469"/>
      <c r="B428" s="715" t="s">
        <v>336</v>
      </c>
      <c r="C428" s="127">
        <f t="shared" si="287"/>
        <v>0</v>
      </c>
      <c r="D428" s="86"/>
      <c r="E428" s="86"/>
      <c r="F428" s="86"/>
      <c r="G428" s="86"/>
      <c r="H428" s="86"/>
      <c r="I428" s="404">
        <f t="shared" si="271"/>
        <v>0</v>
      </c>
      <c r="J428" s="86"/>
      <c r="K428" s="480"/>
      <c r="L428" s="480"/>
      <c r="M428" s="86"/>
      <c r="N428" s="86"/>
      <c r="O428" s="171"/>
      <c r="P428" s="404">
        <f t="shared" si="279"/>
        <v>0</v>
      </c>
      <c r="Q428" s="86"/>
      <c r="R428" s="86"/>
      <c r="S428" s="86"/>
      <c r="T428" s="86"/>
      <c r="U428" s="86"/>
    </row>
    <row r="429" spans="1:22" ht="31.5" customHeight="1" x14ac:dyDescent="0.25">
      <c r="A429" s="469"/>
      <c r="B429" s="315" t="s">
        <v>337</v>
      </c>
      <c r="C429" s="127">
        <f t="shared" si="287"/>
        <v>617073.47</v>
      </c>
      <c r="D429" s="41">
        <f>D430+D433+D436+D437+D438</f>
        <v>0</v>
      </c>
      <c r="E429" s="41">
        <f>E430+E433+E436+E437+E438</f>
        <v>408359.6</v>
      </c>
      <c r="F429" s="41">
        <f>F430+F433+F436+F437+F438</f>
        <v>205444.07</v>
      </c>
      <c r="G429" s="41">
        <v>0</v>
      </c>
      <c r="H429" s="41">
        <f>H430+H433+H436+H437+H438</f>
        <v>3269.8</v>
      </c>
      <c r="I429" s="404">
        <f t="shared" si="271"/>
        <v>635789.96989999991</v>
      </c>
      <c r="J429" s="41">
        <f>J430+J433+J436+J438</f>
        <v>0</v>
      </c>
      <c r="K429" s="41">
        <f t="shared" ref="K429:L429" si="288">K430+K433+K436+K438</f>
        <v>424231.6</v>
      </c>
      <c r="L429" s="41">
        <f t="shared" si="288"/>
        <v>208098.55955999999</v>
      </c>
      <c r="M429" s="41">
        <v>0</v>
      </c>
      <c r="N429" s="41">
        <f t="shared" ref="N429" si="289">N430+N433+N436+N438</f>
        <v>3459.81034</v>
      </c>
      <c r="O429" s="171"/>
      <c r="P429" s="404">
        <f t="shared" si="279"/>
        <v>635456.90870000003</v>
      </c>
      <c r="Q429" s="41">
        <f>Q430+Q433+Q436+Q438</f>
        <v>0</v>
      </c>
      <c r="R429" s="41">
        <f>R430+R433+R436+R438</f>
        <v>423924.25507000001</v>
      </c>
      <c r="S429" s="41">
        <f>S430+S433+S436+S438</f>
        <v>208098.55955999999</v>
      </c>
      <c r="T429" s="41">
        <v>0</v>
      </c>
      <c r="U429" s="41">
        <f>U430+U433+U436+U438</f>
        <v>3434.0940700000001</v>
      </c>
    </row>
    <row r="430" spans="1:22" ht="31.5" x14ac:dyDescent="0.25">
      <c r="A430" s="469"/>
      <c r="B430" s="715" t="s">
        <v>338</v>
      </c>
      <c r="C430" s="127">
        <f t="shared" si="287"/>
        <v>610396.67000000004</v>
      </c>
      <c r="D430" s="86">
        <f>SUM(D431:D432)</f>
        <v>0</v>
      </c>
      <c r="E430" s="86">
        <f>SUM(E431:E432)</f>
        <v>404514.8</v>
      </c>
      <c r="F430" s="86">
        <f>SUM(F431:F432)</f>
        <v>202612.07</v>
      </c>
      <c r="G430" s="170">
        <v>0</v>
      </c>
      <c r="H430" s="86">
        <f>SUM(H431:H432)</f>
        <v>3269.8</v>
      </c>
      <c r="I430" s="404">
        <f t="shared" si="271"/>
        <v>627487.64177999995</v>
      </c>
      <c r="J430" s="86">
        <f>SUM(J431:J432)</f>
        <v>0</v>
      </c>
      <c r="K430" s="480">
        <v>420170.8</v>
      </c>
      <c r="L430" s="480">
        <v>203857.03143999999</v>
      </c>
      <c r="M430" s="86">
        <v>0</v>
      </c>
      <c r="N430" s="86">
        <f>SUM(N431:N432)</f>
        <v>3459.81034</v>
      </c>
      <c r="O430" s="171"/>
      <c r="P430" s="404">
        <f t="shared" si="279"/>
        <v>627461.92550999997</v>
      </c>
      <c r="Q430" s="86">
        <f>SUM(Q431:Q432)</f>
        <v>0</v>
      </c>
      <c r="R430" s="480">
        <v>420170.8</v>
      </c>
      <c r="S430" s="480">
        <v>203857.03143999999</v>
      </c>
      <c r="T430" s="86">
        <v>0</v>
      </c>
      <c r="U430" s="480">
        <v>3434.0940700000001</v>
      </c>
    </row>
    <row r="431" spans="1:22" ht="21" customHeight="1" x14ac:dyDescent="0.25">
      <c r="A431" s="469"/>
      <c r="B431" s="716" t="s">
        <v>339</v>
      </c>
      <c r="C431" s="127">
        <f t="shared" si="287"/>
        <v>610396.67000000004</v>
      </c>
      <c r="D431" s="170">
        <v>0</v>
      </c>
      <c r="E431" s="86">
        <v>404514.8</v>
      </c>
      <c r="F431" s="86">
        <v>202612.07</v>
      </c>
      <c r="G431" s="170">
        <v>0</v>
      </c>
      <c r="H431" s="86">
        <v>3269.8</v>
      </c>
      <c r="I431" s="404">
        <f t="shared" si="271"/>
        <v>627487.64177999995</v>
      </c>
      <c r="J431" s="86">
        <v>0</v>
      </c>
      <c r="K431" s="481">
        <v>420170.8</v>
      </c>
      <c r="L431" s="481">
        <v>203857.03143999999</v>
      </c>
      <c r="M431" s="86">
        <v>0</v>
      </c>
      <c r="N431" s="482">
        <v>3459.81034</v>
      </c>
      <c r="O431" s="170"/>
      <c r="P431" s="404">
        <f t="shared" si="279"/>
        <v>627461.92550999997</v>
      </c>
      <c r="Q431" s="86">
        <v>0</v>
      </c>
      <c r="R431" s="481">
        <v>420170.8</v>
      </c>
      <c r="S431" s="481">
        <v>203857.03143999999</v>
      </c>
      <c r="T431" s="86">
        <v>0</v>
      </c>
      <c r="U431" s="481">
        <v>3434.0940700000001</v>
      </c>
    </row>
    <row r="432" spans="1:22" ht="15.75" hidden="1" customHeight="1" x14ac:dyDescent="0.25">
      <c r="A432" s="469"/>
      <c r="B432" s="716" t="s">
        <v>340</v>
      </c>
      <c r="C432" s="127">
        <f>SUM(D432:H432)</f>
        <v>0</v>
      </c>
      <c r="D432" s="86"/>
      <c r="E432" s="86"/>
      <c r="F432" s="86"/>
      <c r="G432" s="170">
        <v>0</v>
      </c>
      <c r="H432" s="86"/>
      <c r="I432" s="404">
        <f t="shared" si="271"/>
        <v>0</v>
      </c>
      <c r="J432" s="86"/>
      <c r="K432" s="480"/>
      <c r="L432" s="480"/>
      <c r="M432" s="86">
        <v>0</v>
      </c>
      <c r="N432" s="86"/>
      <c r="O432" s="171"/>
      <c r="P432" s="404">
        <f t="shared" si="279"/>
        <v>0</v>
      </c>
      <c r="Q432" s="86"/>
      <c r="R432" s="480"/>
      <c r="S432" s="480"/>
      <c r="T432" s="86">
        <v>0</v>
      </c>
      <c r="U432" s="86"/>
    </row>
    <row r="433" spans="1:21" ht="31.5" customHeight="1" x14ac:dyDescent="0.25">
      <c r="A433" s="469"/>
      <c r="B433" s="715" t="s">
        <v>341</v>
      </c>
      <c r="C433" s="127">
        <f t="shared" ref="C433:C441" si="290">SUM(D433:H433)</f>
        <v>6496.8</v>
      </c>
      <c r="D433" s="86">
        <f>D434+D435</f>
        <v>0</v>
      </c>
      <c r="E433" s="86">
        <f>E434+E435</f>
        <v>3844.8</v>
      </c>
      <c r="F433" s="86">
        <f>F434+F435</f>
        <v>2652</v>
      </c>
      <c r="G433" s="170">
        <v>0</v>
      </c>
      <c r="H433" s="86">
        <f>H434+H435</f>
        <v>0</v>
      </c>
      <c r="I433" s="404">
        <f t="shared" si="271"/>
        <v>7810.4561200000007</v>
      </c>
      <c r="J433" s="86">
        <f>J434+J435</f>
        <v>0</v>
      </c>
      <c r="K433" s="480">
        <v>4060.8</v>
      </c>
      <c r="L433" s="480">
        <v>3749.6561200000001</v>
      </c>
      <c r="M433" s="86">
        <v>0</v>
      </c>
      <c r="N433" s="86">
        <f>N434+N435</f>
        <v>0</v>
      </c>
      <c r="O433" s="171"/>
      <c r="P433" s="404">
        <f t="shared" si="279"/>
        <v>7503.1111899999996</v>
      </c>
      <c r="Q433" s="86">
        <f>Q434+Q435</f>
        <v>0</v>
      </c>
      <c r="R433" s="480">
        <v>3753.45507</v>
      </c>
      <c r="S433" s="480">
        <v>3749.6561200000001</v>
      </c>
      <c r="T433" s="86">
        <v>0</v>
      </c>
      <c r="U433" s="86">
        <f>U434+U435</f>
        <v>0</v>
      </c>
    </row>
    <row r="434" spans="1:21" ht="19.5" customHeight="1" x14ac:dyDescent="0.25">
      <c r="A434" s="469"/>
      <c r="B434" s="716" t="s">
        <v>342</v>
      </c>
      <c r="C434" s="127">
        <f t="shared" si="290"/>
        <v>2652</v>
      </c>
      <c r="D434" s="170">
        <v>0</v>
      </c>
      <c r="E434" s="170">
        <v>0</v>
      </c>
      <c r="F434" s="86">
        <v>2652</v>
      </c>
      <c r="G434" s="170">
        <v>0</v>
      </c>
      <c r="H434" s="170">
        <v>0</v>
      </c>
      <c r="I434" s="404">
        <f t="shared" si="271"/>
        <v>3749.6561200000001</v>
      </c>
      <c r="J434" s="86">
        <v>0</v>
      </c>
      <c r="K434" s="480"/>
      <c r="L434" s="481">
        <v>3749.6561200000001</v>
      </c>
      <c r="M434" s="86">
        <v>0</v>
      </c>
      <c r="N434" s="86">
        <v>0</v>
      </c>
      <c r="O434" s="171"/>
      <c r="P434" s="404">
        <f t="shared" si="279"/>
        <v>3749.6561200000001</v>
      </c>
      <c r="Q434" s="86">
        <v>0</v>
      </c>
      <c r="R434" s="481"/>
      <c r="S434" s="481">
        <v>3749.6561200000001</v>
      </c>
      <c r="T434" s="86">
        <v>0</v>
      </c>
      <c r="U434" s="86">
        <v>0</v>
      </c>
    </row>
    <row r="435" spans="1:21" ht="58.5" customHeight="1" x14ac:dyDescent="0.25">
      <c r="A435" s="469"/>
      <c r="B435" s="716" t="s">
        <v>343</v>
      </c>
      <c r="C435" s="127">
        <f t="shared" si="290"/>
        <v>3844.8</v>
      </c>
      <c r="D435" s="170">
        <v>0</v>
      </c>
      <c r="E435" s="86">
        <v>3844.8</v>
      </c>
      <c r="F435" s="170">
        <v>0</v>
      </c>
      <c r="G435" s="170">
        <v>0</v>
      </c>
      <c r="H435" s="170">
        <v>0</v>
      </c>
      <c r="I435" s="404">
        <f t="shared" si="271"/>
        <v>4060.8</v>
      </c>
      <c r="J435" s="86">
        <v>0</v>
      </c>
      <c r="K435" s="481">
        <v>4060.8</v>
      </c>
      <c r="L435" s="481"/>
      <c r="M435" s="86">
        <v>0</v>
      </c>
      <c r="N435" s="86">
        <v>0</v>
      </c>
      <c r="O435" s="171"/>
      <c r="P435" s="404">
        <f t="shared" si="279"/>
        <v>3753.45507</v>
      </c>
      <c r="Q435" s="86">
        <v>0</v>
      </c>
      <c r="R435" s="481">
        <v>3753.45507</v>
      </c>
      <c r="S435" s="481"/>
      <c r="T435" s="86">
        <v>0</v>
      </c>
      <c r="U435" s="86">
        <v>0</v>
      </c>
    </row>
    <row r="436" spans="1:21" ht="31.5" hidden="1" customHeight="1" x14ac:dyDescent="0.25">
      <c r="A436" s="469"/>
      <c r="B436" s="715" t="s">
        <v>344</v>
      </c>
      <c r="C436" s="127">
        <f t="shared" si="290"/>
        <v>0</v>
      </c>
      <c r="D436" s="86"/>
      <c r="E436" s="86"/>
      <c r="F436" s="86"/>
      <c r="G436" s="170">
        <v>0</v>
      </c>
      <c r="H436" s="86"/>
      <c r="I436" s="404">
        <f t="shared" si="271"/>
        <v>31.872</v>
      </c>
      <c r="J436" s="86"/>
      <c r="K436" s="480"/>
      <c r="L436" s="481">
        <v>31.872</v>
      </c>
      <c r="M436" s="86">
        <v>0</v>
      </c>
      <c r="N436" s="86"/>
      <c r="O436" s="171"/>
      <c r="P436" s="404">
        <f t="shared" si="279"/>
        <v>31.872</v>
      </c>
      <c r="Q436" s="86"/>
      <c r="R436" s="481"/>
      <c r="S436" s="481">
        <v>31.872</v>
      </c>
      <c r="T436" s="86">
        <v>0</v>
      </c>
      <c r="U436" s="86"/>
    </row>
    <row r="437" spans="1:21" ht="31.5" hidden="1" customHeight="1" x14ac:dyDescent="0.25">
      <c r="A437" s="469"/>
      <c r="B437" s="715" t="s">
        <v>345</v>
      </c>
      <c r="C437" s="127">
        <f t="shared" si="290"/>
        <v>0</v>
      </c>
      <c r="D437" s="86"/>
      <c r="E437" s="86"/>
      <c r="F437" s="86"/>
      <c r="G437" s="170">
        <v>0</v>
      </c>
      <c r="H437" s="86"/>
      <c r="I437" s="404">
        <f t="shared" si="271"/>
        <v>0</v>
      </c>
      <c r="J437" s="86"/>
      <c r="K437" s="480"/>
      <c r="L437" s="481"/>
      <c r="M437" s="86">
        <v>0</v>
      </c>
      <c r="N437" s="86"/>
      <c r="O437" s="171"/>
      <c r="P437" s="404">
        <f t="shared" si="279"/>
        <v>0</v>
      </c>
      <c r="Q437" s="86"/>
      <c r="R437" s="481"/>
      <c r="S437" s="481"/>
      <c r="T437" s="86">
        <v>0</v>
      </c>
      <c r="U437" s="86"/>
    </row>
    <row r="438" spans="1:21" ht="20.25" customHeight="1" x14ac:dyDescent="0.25">
      <c r="A438" s="469"/>
      <c r="B438" s="715" t="s">
        <v>346</v>
      </c>
      <c r="C438" s="127">
        <f t="shared" si="290"/>
        <v>180</v>
      </c>
      <c r="D438" s="86">
        <f>D439</f>
        <v>0</v>
      </c>
      <c r="E438" s="86">
        <f>E439</f>
        <v>0</v>
      </c>
      <c r="F438" s="86">
        <f>F439</f>
        <v>180</v>
      </c>
      <c r="G438" s="170">
        <v>0</v>
      </c>
      <c r="H438" s="86">
        <f>H439</f>
        <v>0</v>
      </c>
      <c r="I438" s="404">
        <f t="shared" si="271"/>
        <v>460</v>
      </c>
      <c r="J438" s="86">
        <f>J439</f>
        <v>0</v>
      </c>
      <c r="K438" s="480">
        <v>0</v>
      </c>
      <c r="L438" s="481">
        <v>460</v>
      </c>
      <c r="M438" s="86">
        <v>0</v>
      </c>
      <c r="N438" s="86">
        <f>N439</f>
        <v>0</v>
      </c>
      <c r="O438" s="171"/>
      <c r="P438" s="404">
        <f t="shared" si="279"/>
        <v>460</v>
      </c>
      <c r="Q438" s="86">
        <f>Q439</f>
        <v>0</v>
      </c>
      <c r="R438" s="481">
        <v>0</v>
      </c>
      <c r="S438" s="481">
        <v>460</v>
      </c>
      <c r="T438" s="86">
        <v>0</v>
      </c>
      <c r="U438" s="86">
        <f>U439</f>
        <v>0</v>
      </c>
    </row>
    <row r="439" spans="1:21" ht="31.5" x14ac:dyDescent="0.25">
      <c r="A439" s="469"/>
      <c r="B439" s="716" t="s">
        <v>347</v>
      </c>
      <c r="C439" s="127">
        <f t="shared" si="290"/>
        <v>180</v>
      </c>
      <c r="D439" s="170">
        <v>0</v>
      </c>
      <c r="E439" s="170">
        <v>0</v>
      </c>
      <c r="F439" s="86">
        <v>180</v>
      </c>
      <c r="G439" s="170">
        <v>0</v>
      </c>
      <c r="H439" s="170">
        <v>0</v>
      </c>
      <c r="I439" s="404">
        <f t="shared" si="271"/>
        <v>460</v>
      </c>
      <c r="J439" s="86">
        <v>0</v>
      </c>
      <c r="K439" s="480"/>
      <c r="L439" s="481">
        <v>460</v>
      </c>
      <c r="M439" s="86">
        <v>0</v>
      </c>
      <c r="N439" s="86">
        <v>0</v>
      </c>
      <c r="O439" s="171"/>
      <c r="P439" s="404">
        <f t="shared" si="279"/>
        <v>460</v>
      </c>
      <c r="Q439" s="86">
        <v>0</v>
      </c>
      <c r="R439" s="481"/>
      <c r="S439" s="481">
        <v>460</v>
      </c>
      <c r="T439" s="86">
        <v>0</v>
      </c>
      <c r="U439" s="86">
        <v>0</v>
      </c>
    </row>
    <row r="440" spans="1:21" ht="29.25" customHeight="1" x14ac:dyDescent="0.25">
      <c r="A440" s="469"/>
      <c r="B440" s="315" t="s">
        <v>348</v>
      </c>
      <c r="C440" s="127">
        <f t="shared" si="290"/>
        <v>76033.400000000009</v>
      </c>
      <c r="D440" s="325">
        <f>D441+D443+D446+D447+D451+D453</f>
        <v>0</v>
      </c>
      <c r="E440" s="325">
        <f>E441+E443+E446+E447+E451+E453</f>
        <v>676.8</v>
      </c>
      <c r="F440" s="325">
        <f>F441+F443+F446+F447+F451+F453</f>
        <v>75346.600000000006</v>
      </c>
      <c r="G440" s="325">
        <v>0</v>
      </c>
      <c r="H440" s="325">
        <f>H441+H443+H446+H447+H451+H453</f>
        <v>10</v>
      </c>
      <c r="I440" s="404">
        <f t="shared" si="271"/>
        <v>78167.406289999999</v>
      </c>
      <c r="J440" s="325">
        <f>J441+J443+J446+J447+J451</f>
        <v>0</v>
      </c>
      <c r="K440" s="325">
        <f>K441+K443+K446+K447+K451</f>
        <v>748.79973000000007</v>
      </c>
      <c r="L440" s="325">
        <f>L441+L443+L446+L447+L451+L453</f>
        <v>77408.60656</v>
      </c>
      <c r="M440" s="325">
        <v>0</v>
      </c>
      <c r="N440" s="325">
        <f>N441+N443+N446+N447+N451</f>
        <v>10</v>
      </c>
      <c r="O440" s="171"/>
      <c r="P440" s="404">
        <f t="shared" si="279"/>
        <v>78073.445560000007</v>
      </c>
      <c r="Q440" s="325">
        <f>Q441+Q443+Q446+Q447+Q451</f>
        <v>0</v>
      </c>
      <c r="R440" s="325">
        <f>R441+R443+R446+R447+R451</f>
        <v>654.83900000000006</v>
      </c>
      <c r="S440" s="325">
        <f>S441+S443+S446+S447+S451</f>
        <v>77408.60656</v>
      </c>
      <c r="T440" s="325">
        <v>0</v>
      </c>
      <c r="U440" s="325">
        <f>U441+U443+U446+U447+U451</f>
        <v>10</v>
      </c>
    </row>
    <row r="441" spans="1:21" ht="31.5" x14ac:dyDescent="0.25">
      <c r="A441" s="469"/>
      <c r="B441" s="715" t="s">
        <v>349</v>
      </c>
      <c r="C441" s="127">
        <f t="shared" si="290"/>
        <v>57723.3</v>
      </c>
      <c r="D441" s="86">
        <f>D442</f>
        <v>0</v>
      </c>
      <c r="E441" s="86">
        <f>E442</f>
        <v>0</v>
      </c>
      <c r="F441" s="86">
        <f>F442</f>
        <v>57713.3</v>
      </c>
      <c r="G441" s="170">
        <v>0</v>
      </c>
      <c r="H441" s="86">
        <f>H442</f>
        <v>10</v>
      </c>
      <c r="I441" s="404">
        <f t="shared" si="271"/>
        <v>75678.66952000001</v>
      </c>
      <c r="J441" s="86">
        <f>J442</f>
        <v>0</v>
      </c>
      <c r="K441" s="480">
        <v>0</v>
      </c>
      <c r="L441" s="480">
        <v>75668.66952000001</v>
      </c>
      <c r="M441" s="86">
        <v>0</v>
      </c>
      <c r="N441" s="86">
        <f>N442</f>
        <v>10</v>
      </c>
      <c r="O441" s="170"/>
      <c r="P441" s="404">
        <f t="shared" si="279"/>
        <v>75678.66952000001</v>
      </c>
      <c r="Q441" s="86">
        <f>Q442</f>
        <v>0</v>
      </c>
      <c r="R441" s="86">
        <f>R442</f>
        <v>0</v>
      </c>
      <c r="S441" s="480">
        <v>75668.66952000001</v>
      </c>
      <c r="T441" s="86">
        <v>0</v>
      </c>
      <c r="U441" s="86">
        <f>U442</f>
        <v>10</v>
      </c>
    </row>
    <row r="442" spans="1:21" ht="31.5" x14ac:dyDescent="0.25">
      <c r="A442" s="469"/>
      <c r="B442" s="716" t="s">
        <v>350</v>
      </c>
      <c r="C442" s="127">
        <f>SUM(D442:H442)</f>
        <v>57723.3</v>
      </c>
      <c r="D442" s="170">
        <v>0</v>
      </c>
      <c r="E442" s="170">
        <v>0</v>
      </c>
      <c r="F442" s="86">
        <v>57713.3</v>
      </c>
      <c r="G442" s="170">
        <v>0</v>
      </c>
      <c r="H442" s="86">
        <v>10</v>
      </c>
      <c r="I442" s="404">
        <f t="shared" si="271"/>
        <v>75678.66952000001</v>
      </c>
      <c r="J442" s="86">
        <v>0</v>
      </c>
      <c r="K442" s="480"/>
      <c r="L442" s="481">
        <v>75668.66952000001</v>
      </c>
      <c r="M442" s="86">
        <v>0</v>
      </c>
      <c r="N442" s="86">
        <v>10</v>
      </c>
      <c r="O442" s="170"/>
      <c r="P442" s="404">
        <f t="shared" si="279"/>
        <v>75678.66952000001</v>
      </c>
      <c r="Q442" s="86">
        <v>0</v>
      </c>
      <c r="R442" s="86">
        <v>0</v>
      </c>
      <c r="S442" s="481">
        <v>75668.66952000001</v>
      </c>
      <c r="T442" s="86">
        <v>0</v>
      </c>
      <c r="U442" s="86">
        <v>10</v>
      </c>
    </row>
    <row r="443" spans="1:21" x14ac:dyDescent="0.25">
      <c r="A443" s="469"/>
      <c r="B443" s="715" t="s">
        <v>341</v>
      </c>
      <c r="C443" s="127">
        <f t="shared" ref="C443:C445" si="291">SUM(D443:H443)</f>
        <v>1081.6999999999998</v>
      </c>
      <c r="D443" s="86">
        <f>D444+D445</f>
        <v>0</v>
      </c>
      <c r="E443" s="86">
        <f>E444+E445</f>
        <v>676.8</v>
      </c>
      <c r="F443" s="86">
        <f>F444+F445</f>
        <v>404.9</v>
      </c>
      <c r="G443" s="170">
        <v>0</v>
      </c>
      <c r="H443" s="86">
        <f>H444+H445</f>
        <v>0</v>
      </c>
      <c r="I443" s="404">
        <f t="shared" si="271"/>
        <v>1510.3627700000002</v>
      </c>
      <c r="J443" s="86">
        <f>J444+J445</f>
        <v>0</v>
      </c>
      <c r="K443" s="480">
        <v>748.79973000000007</v>
      </c>
      <c r="L443" s="480">
        <v>761.56304</v>
      </c>
      <c r="M443" s="86">
        <v>0</v>
      </c>
      <c r="N443" s="86">
        <f>N444+N445</f>
        <v>0</v>
      </c>
      <c r="O443" s="171"/>
      <c r="P443" s="404">
        <f t="shared" si="279"/>
        <v>1416.4020399999999</v>
      </c>
      <c r="Q443" s="86">
        <f>Q444+Q445</f>
        <v>0</v>
      </c>
      <c r="R443" s="86">
        <f>R444+R445</f>
        <v>654.83900000000006</v>
      </c>
      <c r="S443" s="480">
        <v>761.56304</v>
      </c>
      <c r="T443" s="86">
        <v>0</v>
      </c>
      <c r="U443" s="86">
        <f>U444+U445</f>
        <v>0</v>
      </c>
    </row>
    <row r="444" spans="1:21" x14ac:dyDescent="0.25">
      <c r="A444" s="469"/>
      <c r="B444" s="716" t="s">
        <v>342</v>
      </c>
      <c r="C444" s="127">
        <f t="shared" si="291"/>
        <v>404.9</v>
      </c>
      <c r="D444" s="170">
        <v>0</v>
      </c>
      <c r="E444" s="170">
        <v>0</v>
      </c>
      <c r="F444" s="86">
        <v>404.9</v>
      </c>
      <c r="G444" s="170">
        <v>0</v>
      </c>
      <c r="H444" s="170">
        <v>0</v>
      </c>
      <c r="I444" s="404">
        <f t="shared" si="271"/>
        <v>761.56304</v>
      </c>
      <c r="J444" s="86"/>
      <c r="K444" s="481"/>
      <c r="L444" s="481">
        <v>761.56304</v>
      </c>
      <c r="M444" s="86">
        <v>0</v>
      </c>
      <c r="N444" s="86">
        <v>0</v>
      </c>
      <c r="O444" s="171"/>
      <c r="P444" s="404">
        <f t="shared" si="279"/>
        <v>761.56304</v>
      </c>
      <c r="Q444" s="86">
        <v>0</v>
      </c>
      <c r="R444" s="86">
        <v>0</v>
      </c>
      <c r="S444" s="481">
        <v>761.56304</v>
      </c>
      <c r="T444" s="86">
        <v>0</v>
      </c>
      <c r="U444" s="86">
        <v>0</v>
      </c>
    </row>
    <row r="445" spans="1:21" ht="56.25" customHeight="1" x14ac:dyDescent="0.25">
      <c r="A445" s="469"/>
      <c r="B445" s="716" t="s">
        <v>343</v>
      </c>
      <c r="C445" s="127">
        <f t="shared" si="291"/>
        <v>676.8</v>
      </c>
      <c r="D445" s="170">
        <v>0</v>
      </c>
      <c r="E445" s="86">
        <v>676.8</v>
      </c>
      <c r="F445" s="170">
        <v>0</v>
      </c>
      <c r="G445" s="170">
        <v>0</v>
      </c>
      <c r="H445" s="170">
        <v>0</v>
      </c>
      <c r="I445" s="404">
        <f t="shared" si="271"/>
        <v>748.79973000000007</v>
      </c>
      <c r="J445" s="86">
        <v>0</v>
      </c>
      <c r="K445" s="481">
        <v>748.79973000000007</v>
      </c>
      <c r="L445" s="481"/>
      <c r="M445" s="86">
        <v>0</v>
      </c>
      <c r="N445" s="86">
        <v>0</v>
      </c>
      <c r="O445" s="171"/>
      <c r="P445" s="404">
        <f t="shared" si="279"/>
        <v>654.83900000000006</v>
      </c>
      <c r="Q445" s="86">
        <v>0</v>
      </c>
      <c r="R445" s="481">
        <v>654.83900000000006</v>
      </c>
      <c r="S445" s="481"/>
      <c r="T445" s="86">
        <v>0</v>
      </c>
      <c r="U445" s="86">
        <v>0</v>
      </c>
    </row>
    <row r="446" spans="1:21" ht="31.5" hidden="1" customHeight="1" x14ac:dyDescent="0.25">
      <c r="A446" s="469"/>
      <c r="B446" s="715" t="s">
        <v>344</v>
      </c>
      <c r="C446" s="36"/>
      <c r="D446" s="86"/>
      <c r="E446" s="86"/>
      <c r="F446" s="86"/>
      <c r="G446" s="170">
        <v>0</v>
      </c>
      <c r="H446" s="86"/>
      <c r="I446" s="404">
        <f t="shared" si="271"/>
        <v>0</v>
      </c>
      <c r="J446" s="86"/>
      <c r="K446" s="481"/>
      <c r="L446" s="481"/>
      <c r="M446" s="86">
        <v>0</v>
      </c>
      <c r="N446" s="86"/>
      <c r="O446" s="171"/>
      <c r="P446" s="404">
        <f t="shared" si="279"/>
        <v>0</v>
      </c>
      <c r="Q446" s="86"/>
      <c r="R446" s="86"/>
      <c r="S446" s="481"/>
      <c r="T446" s="86"/>
      <c r="U446" s="86"/>
    </row>
    <row r="447" spans="1:21" ht="18.75" customHeight="1" x14ac:dyDescent="0.25">
      <c r="A447" s="469"/>
      <c r="B447" s="717" t="s">
        <v>351</v>
      </c>
      <c r="C447" s="127">
        <f>SUM(D447:H447)</f>
        <v>740</v>
      </c>
      <c r="D447" s="86">
        <f>D448</f>
        <v>0</v>
      </c>
      <c r="E447" s="86">
        <f>E448</f>
        <v>0</v>
      </c>
      <c r="F447" s="86">
        <f>F448</f>
        <v>740</v>
      </c>
      <c r="G447" s="170">
        <v>0</v>
      </c>
      <c r="H447" s="86">
        <f>H448</f>
        <v>0</v>
      </c>
      <c r="I447" s="404">
        <f t="shared" si="271"/>
        <v>728.37400000000002</v>
      </c>
      <c r="J447" s="86">
        <f>J448</f>
        <v>0</v>
      </c>
      <c r="K447" s="481">
        <v>0</v>
      </c>
      <c r="L447" s="481">
        <v>728.37400000000002</v>
      </c>
      <c r="M447" s="86">
        <v>0</v>
      </c>
      <c r="N447" s="86">
        <f>N448</f>
        <v>0</v>
      </c>
      <c r="O447" s="171"/>
      <c r="P447" s="404">
        <f t="shared" si="279"/>
        <v>728.37400000000002</v>
      </c>
      <c r="Q447" s="86">
        <f>Q448</f>
        <v>0</v>
      </c>
      <c r="R447" s="86">
        <f>R448</f>
        <v>0</v>
      </c>
      <c r="S447" s="481">
        <v>728.37400000000002</v>
      </c>
      <c r="T447" s="86">
        <v>0</v>
      </c>
      <c r="U447" s="86">
        <f>U448</f>
        <v>0</v>
      </c>
    </row>
    <row r="448" spans="1:21" ht="31.5" x14ac:dyDescent="0.25">
      <c r="A448" s="469"/>
      <c r="B448" s="716" t="s">
        <v>352</v>
      </c>
      <c r="C448" s="127">
        <f t="shared" ref="C448:C485" si="292">SUM(D448:H448)</f>
        <v>740</v>
      </c>
      <c r="D448" s="86">
        <f>D449+D450</f>
        <v>0</v>
      </c>
      <c r="E448" s="86">
        <f>E449+E450</f>
        <v>0</v>
      </c>
      <c r="F448" s="86">
        <f>F449+F450</f>
        <v>740</v>
      </c>
      <c r="G448" s="170">
        <v>0</v>
      </c>
      <c r="H448" s="86">
        <f>H449+H450</f>
        <v>0</v>
      </c>
      <c r="I448" s="404">
        <f t="shared" si="271"/>
        <v>728.37400000000002</v>
      </c>
      <c r="J448" s="86">
        <f>J449+J450</f>
        <v>0</v>
      </c>
      <c r="K448" s="481">
        <v>0</v>
      </c>
      <c r="L448" s="481">
        <v>728.37400000000002</v>
      </c>
      <c r="M448" s="86">
        <v>0</v>
      </c>
      <c r="N448" s="86">
        <f>N449+N450</f>
        <v>0</v>
      </c>
      <c r="O448" s="171"/>
      <c r="P448" s="404">
        <f t="shared" si="279"/>
        <v>728.37400000000002</v>
      </c>
      <c r="Q448" s="86">
        <f>Q449+Q450</f>
        <v>0</v>
      </c>
      <c r="R448" s="86">
        <f>R449+R450</f>
        <v>0</v>
      </c>
      <c r="S448" s="481">
        <v>728.37400000000002</v>
      </c>
      <c r="T448" s="86">
        <v>0</v>
      </c>
      <c r="U448" s="86">
        <f>U449+U450</f>
        <v>0</v>
      </c>
    </row>
    <row r="449" spans="1:21" ht="19.5" customHeight="1" x14ac:dyDescent="0.25">
      <c r="A449" s="469"/>
      <c r="B449" s="483" t="s">
        <v>353</v>
      </c>
      <c r="C449" s="127">
        <f t="shared" si="292"/>
        <v>480</v>
      </c>
      <c r="D449" s="170">
        <v>0</v>
      </c>
      <c r="E449" s="170">
        <v>0</v>
      </c>
      <c r="F449" s="86">
        <v>480</v>
      </c>
      <c r="G449" s="170">
        <v>0</v>
      </c>
      <c r="H449" s="170">
        <v>0</v>
      </c>
      <c r="I449" s="404">
        <f t="shared" si="271"/>
        <v>479.55</v>
      </c>
      <c r="J449" s="86">
        <v>0</v>
      </c>
      <c r="K449" s="481"/>
      <c r="L449" s="481">
        <v>479.55</v>
      </c>
      <c r="M449" s="86">
        <v>0</v>
      </c>
      <c r="N449" s="86">
        <v>0</v>
      </c>
      <c r="O449" s="171"/>
      <c r="P449" s="404">
        <f t="shared" si="279"/>
        <v>479.55</v>
      </c>
      <c r="Q449" s="86">
        <v>0</v>
      </c>
      <c r="R449" s="86">
        <v>0</v>
      </c>
      <c r="S449" s="481">
        <v>479.55</v>
      </c>
      <c r="T449" s="86">
        <v>0</v>
      </c>
      <c r="U449" s="86">
        <v>0</v>
      </c>
    </row>
    <row r="450" spans="1:21" ht="47.25" x14ac:dyDescent="0.25">
      <c r="A450" s="469"/>
      <c r="B450" s="483" t="s">
        <v>354</v>
      </c>
      <c r="C450" s="127">
        <f t="shared" si="292"/>
        <v>260</v>
      </c>
      <c r="D450" s="170">
        <v>0</v>
      </c>
      <c r="E450" s="170">
        <v>0</v>
      </c>
      <c r="F450" s="86">
        <v>260</v>
      </c>
      <c r="G450" s="170">
        <v>0</v>
      </c>
      <c r="H450" s="170">
        <v>0</v>
      </c>
      <c r="I450" s="404">
        <f t="shared" si="271"/>
        <v>248.82400000000001</v>
      </c>
      <c r="J450" s="86">
        <v>0</v>
      </c>
      <c r="K450" s="481"/>
      <c r="L450" s="481">
        <v>248.82400000000001</v>
      </c>
      <c r="M450" s="86">
        <v>0</v>
      </c>
      <c r="N450" s="86">
        <v>0</v>
      </c>
      <c r="O450" s="171"/>
      <c r="P450" s="404">
        <f t="shared" si="279"/>
        <v>248.82400000000001</v>
      </c>
      <c r="Q450" s="86">
        <v>0</v>
      </c>
      <c r="R450" s="86">
        <v>0</v>
      </c>
      <c r="S450" s="481">
        <v>248.82400000000001</v>
      </c>
      <c r="T450" s="86">
        <v>0</v>
      </c>
      <c r="U450" s="86">
        <v>0</v>
      </c>
    </row>
    <row r="451" spans="1:21" ht="20.25" customHeight="1" x14ac:dyDescent="0.25">
      <c r="A451" s="469"/>
      <c r="B451" s="715" t="s">
        <v>346</v>
      </c>
      <c r="C451" s="127">
        <f t="shared" si="292"/>
        <v>530</v>
      </c>
      <c r="D451" s="86">
        <f>D452</f>
        <v>0</v>
      </c>
      <c r="E451" s="86">
        <f>E452</f>
        <v>0</v>
      </c>
      <c r="F451" s="86">
        <f>F452</f>
        <v>530</v>
      </c>
      <c r="G451" s="170">
        <v>0</v>
      </c>
      <c r="H451" s="86">
        <f>H452</f>
        <v>0</v>
      </c>
      <c r="I451" s="404">
        <f t="shared" si="271"/>
        <v>250</v>
      </c>
      <c r="J451" s="86">
        <f>J452</f>
        <v>0</v>
      </c>
      <c r="K451" s="481">
        <v>0</v>
      </c>
      <c r="L451" s="481">
        <v>250</v>
      </c>
      <c r="M451" s="86">
        <v>0</v>
      </c>
      <c r="N451" s="86">
        <f>N452</f>
        <v>0</v>
      </c>
      <c r="O451" s="171"/>
      <c r="P451" s="404">
        <f t="shared" si="279"/>
        <v>250</v>
      </c>
      <c r="Q451" s="86">
        <f>Q452</f>
        <v>0</v>
      </c>
      <c r="R451" s="86">
        <f>R452</f>
        <v>0</v>
      </c>
      <c r="S451" s="481">
        <v>250</v>
      </c>
      <c r="T451" s="86">
        <v>0</v>
      </c>
      <c r="U451" s="86">
        <f>U452</f>
        <v>0</v>
      </c>
    </row>
    <row r="452" spans="1:21" ht="31.5" x14ac:dyDescent="0.25">
      <c r="A452" s="469"/>
      <c r="B452" s="716" t="s">
        <v>347</v>
      </c>
      <c r="C452" s="127">
        <f t="shared" si="292"/>
        <v>530</v>
      </c>
      <c r="D452" s="170">
        <v>0</v>
      </c>
      <c r="E452" s="170">
        <v>0</v>
      </c>
      <c r="F452" s="86">
        <f>60+250+20+200</f>
        <v>530</v>
      </c>
      <c r="G452" s="170">
        <v>0</v>
      </c>
      <c r="H452" s="170">
        <v>0</v>
      </c>
      <c r="I452" s="404">
        <f t="shared" si="271"/>
        <v>250</v>
      </c>
      <c r="J452" s="86">
        <v>0</v>
      </c>
      <c r="K452" s="481"/>
      <c r="L452" s="481">
        <v>250</v>
      </c>
      <c r="M452" s="86">
        <v>0</v>
      </c>
      <c r="N452" s="86">
        <v>0</v>
      </c>
      <c r="O452" s="171"/>
      <c r="P452" s="404">
        <f t="shared" si="279"/>
        <v>250</v>
      </c>
      <c r="Q452" s="86">
        <v>0</v>
      </c>
      <c r="R452" s="86">
        <v>0</v>
      </c>
      <c r="S452" s="481">
        <v>250</v>
      </c>
      <c r="T452" s="86">
        <v>0</v>
      </c>
      <c r="U452" s="86">
        <v>0</v>
      </c>
    </row>
    <row r="453" spans="1:21" ht="31.5" x14ac:dyDescent="0.25">
      <c r="A453" s="469"/>
      <c r="B453" s="715" t="s">
        <v>355</v>
      </c>
      <c r="C453" s="127">
        <f t="shared" si="292"/>
        <v>15958.4</v>
      </c>
      <c r="D453" s="86"/>
      <c r="E453" s="86"/>
      <c r="F453" s="86">
        <v>15958.4</v>
      </c>
      <c r="G453" s="86"/>
      <c r="H453" s="86"/>
      <c r="I453" s="404">
        <f t="shared" si="271"/>
        <v>0</v>
      </c>
      <c r="J453" s="86"/>
      <c r="K453" s="481"/>
      <c r="L453" s="481"/>
      <c r="M453" s="86"/>
      <c r="N453" s="86"/>
      <c r="O453" s="171"/>
      <c r="P453" s="404">
        <f t="shared" si="279"/>
        <v>0</v>
      </c>
      <c r="Q453" s="86"/>
      <c r="R453" s="86"/>
      <c r="S453" s="481"/>
      <c r="T453" s="86"/>
      <c r="U453" s="86"/>
    </row>
    <row r="454" spans="1:21" ht="19.5" customHeight="1" x14ac:dyDescent="0.25">
      <c r="A454" s="469"/>
      <c r="B454" s="315" t="s">
        <v>356</v>
      </c>
      <c r="C454" s="127">
        <f t="shared" si="292"/>
        <v>272114.82399999996</v>
      </c>
      <c r="D454" s="325">
        <f>D455+D456+D457+D460+D463+D466+D469+D471+D472+D476+D477</f>
        <v>116314.7</v>
      </c>
      <c r="E454" s="325">
        <f>E455+E456+E457+E460+E463+E466+E469+E471+E472+E476+E477</f>
        <v>111615.4</v>
      </c>
      <c r="F454" s="325">
        <f>F455+F456+F457+F460+F463+F466+F469+F471+F472+F476+F477</f>
        <v>43434.724000000002</v>
      </c>
      <c r="G454" s="325">
        <v>0</v>
      </c>
      <c r="H454" s="325">
        <f>H455+H456+H457+H460+H463+H466+H469+H471+H472+H476+H477</f>
        <v>750</v>
      </c>
      <c r="I454" s="404">
        <f t="shared" si="271"/>
        <v>230133.12448000003</v>
      </c>
      <c r="J454" s="325">
        <f>J455+J456+J457+J460+J463+J466+J469+J471+J472+J476+J477</f>
        <v>127706.13373</v>
      </c>
      <c r="K454" s="325">
        <f>K455+K456+K457+K460+K463+K466+K469+K471+K472+K476+K477</f>
        <v>55981.977880000006</v>
      </c>
      <c r="L454" s="325">
        <f>L455+L456+L457+L460+L463+L466+L469+L471+L472+L476+L477</f>
        <v>46445.012870000006</v>
      </c>
      <c r="M454" s="325">
        <v>0</v>
      </c>
      <c r="N454" s="325">
        <f>N455+N456+N457+N460+N463+N466+N469+N471+N472+N476+N477</f>
        <v>0</v>
      </c>
      <c r="O454" s="171"/>
      <c r="P454" s="404">
        <f t="shared" si="279"/>
        <v>222373.79052000001</v>
      </c>
      <c r="Q454" s="325">
        <f>Q455+Q456+Q457+Q460+Q463+Q466+Q469+Q471+Q472+Q476+Q477</f>
        <v>127706.13373</v>
      </c>
      <c r="R454" s="325">
        <f>R455+R456+R457+R460+R463+R466+R469+R471+R472+R476+R477</f>
        <v>50085.96226</v>
      </c>
      <c r="S454" s="325">
        <f>S455+S456+S457+S460+S463+S466+S469+S471+S472+S476+S477</f>
        <v>44581.694530000008</v>
      </c>
      <c r="T454" s="325">
        <v>0</v>
      </c>
      <c r="U454" s="325">
        <f>U455+U456+U457+U460+U463+U466+U469+U471+U472+U476+U477</f>
        <v>0</v>
      </c>
    </row>
    <row r="455" spans="1:21" ht="19.5" customHeight="1" x14ac:dyDescent="0.25">
      <c r="A455" s="469"/>
      <c r="B455" s="715" t="s">
        <v>136</v>
      </c>
      <c r="C455" s="127"/>
      <c r="D455" s="480"/>
      <c r="E455" s="480"/>
      <c r="F455" s="480">
        <v>34033.800000000003</v>
      </c>
      <c r="G455" s="170">
        <v>0</v>
      </c>
      <c r="H455" s="480"/>
      <c r="I455" s="404">
        <f t="shared" ref="I455:I496" si="293">SUM(J455:N455)</f>
        <v>33561.723680000003</v>
      </c>
      <c r="J455" s="480"/>
      <c r="K455" s="480"/>
      <c r="L455" s="481">
        <v>33561.723680000003</v>
      </c>
      <c r="M455" s="86">
        <v>0</v>
      </c>
      <c r="N455" s="480"/>
      <c r="O455" s="171"/>
      <c r="P455" s="404">
        <f t="shared" si="279"/>
        <v>33507.018960000001</v>
      </c>
      <c r="Q455" s="480"/>
      <c r="R455" s="480"/>
      <c r="S455" s="481">
        <v>33507.018960000001</v>
      </c>
      <c r="T455" s="86">
        <v>0</v>
      </c>
      <c r="U455" s="86">
        <v>0</v>
      </c>
    </row>
    <row r="456" spans="1:21" ht="31.5" x14ac:dyDescent="0.25">
      <c r="A456" s="469"/>
      <c r="B456" s="715" t="s">
        <v>335</v>
      </c>
      <c r="C456" s="127">
        <f t="shared" si="292"/>
        <v>200</v>
      </c>
      <c r="D456" s="480"/>
      <c r="E456" s="480"/>
      <c r="F456" s="480">
        <v>200</v>
      </c>
      <c r="G456" s="170">
        <v>0</v>
      </c>
      <c r="H456" s="480"/>
      <c r="I456" s="404">
        <f t="shared" si="293"/>
        <v>129.75399999999999</v>
      </c>
      <c r="J456" s="481"/>
      <c r="K456" s="481"/>
      <c r="L456" s="481">
        <v>129.75399999999999</v>
      </c>
      <c r="M456" s="86">
        <v>0</v>
      </c>
      <c r="N456" s="480"/>
      <c r="O456" s="171"/>
      <c r="P456" s="404">
        <f t="shared" si="279"/>
        <v>129.75399999999999</v>
      </c>
      <c r="Q456" s="481"/>
      <c r="R456" s="481"/>
      <c r="S456" s="481">
        <v>129.75399999999999</v>
      </c>
      <c r="T456" s="86">
        <v>0</v>
      </c>
      <c r="U456" s="86">
        <v>0</v>
      </c>
    </row>
    <row r="457" spans="1:21" ht="15.75" hidden="1" customHeight="1" x14ac:dyDescent="0.25">
      <c r="A457" s="469"/>
      <c r="B457" s="719" t="s">
        <v>357</v>
      </c>
      <c r="C457" s="127">
        <f t="shared" si="292"/>
        <v>229130.09999999998</v>
      </c>
      <c r="D457" s="481">
        <v>116314.7</v>
      </c>
      <c r="E457" s="481">
        <v>108615.4</v>
      </c>
      <c r="F457" s="481">
        <v>4200</v>
      </c>
      <c r="G457" s="170">
        <v>0</v>
      </c>
      <c r="H457" s="481">
        <v>0</v>
      </c>
      <c r="I457" s="404">
        <f t="shared" si="293"/>
        <v>0</v>
      </c>
      <c r="J457" s="481">
        <v>0</v>
      </c>
      <c r="K457" s="481">
        <v>0</v>
      </c>
      <c r="L457" s="481">
        <v>0</v>
      </c>
      <c r="M457" s="86">
        <v>0</v>
      </c>
      <c r="N457" s="481">
        <v>0</v>
      </c>
      <c r="O457" s="171"/>
      <c r="P457" s="404">
        <f t="shared" si="279"/>
        <v>0</v>
      </c>
      <c r="Q457" s="481">
        <v>0</v>
      </c>
      <c r="R457" s="481">
        <v>0</v>
      </c>
      <c r="S457" s="481">
        <v>0</v>
      </c>
      <c r="T457" s="86">
        <v>0</v>
      </c>
      <c r="U457" s="86">
        <f>SUM(U458:U459)</f>
        <v>0</v>
      </c>
    </row>
    <row r="458" spans="1:21" ht="15.75" hidden="1" customHeight="1" x14ac:dyDescent="0.25">
      <c r="A458" s="469"/>
      <c r="B458" s="484" t="s">
        <v>358</v>
      </c>
      <c r="C458" s="127">
        <f t="shared" si="292"/>
        <v>169130.1</v>
      </c>
      <c r="D458" s="481">
        <v>116314.7</v>
      </c>
      <c r="E458" s="481">
        <v>49815.4</v>
      </c>
      <c r="F458" s="481">
        <v>3000</v>
      </c>
      <c r="G458" s="170">
        <v>0</v>
      </c>
      <c r="H458" s="481"/>
      <c r="I458" s="404">
        <f t="shared" si="293"/>
        <v>0</v>
      </c>
      <c r="J458" s="481"/>
      <c r="K458" s="481"/>
      <c r="L458" s="481"/>
      <c r="M458" s="86">
        <v>0</v>
      </c>
      <c r="N458" s="481"/>
      <c r="O458" s="171"/>
      <c r="P458" s="404">
        <f t="shared" si="279"/>
        <v>0</v>
      </c>
      <c r="Q458" s="481"/>
      <c r="R458" s="481"/>
      <c r="S458" s="481"/>
      <c r="T458" s="86">
        <v>0</v>
      </c>
      <c r="U458" s="86"/>
    </row>
    <row r="459" spans="1:21" ht="31.5" hidden="1" customHeight="1" x14ac:dyDescent="0.25">
      <c r="A459" s="469"/>
      <c r="B459" s="484" t="s">
        <v>359</v>
      </c>
      <c r="C459" s="127">
        <f t="shared" si="292"/>
        <v>60000</v>
      </c>
      <c r="D459" s="481"/>
      <c r="E459" s="481">
        <v>58800</v>
      </c>
      <c r="F459" s="481">
        <v>1200</v>
      </c>
      <c r="G459" s="170">
        <v>0</v>
      </c>
      <c r="H459" s="481"/>
      <c r="I459" s="404">
        <f t="shared" si="293"/>
        <v>0</v>
      </c>
      <c r="J459" s="481"/>
      <c r="K459" s="481"/>
      <c r="L459" s="481"/>
      <c r="M459" s="86">
        <v>0</v>
      </c>
      <c r="N459" s="481"/>
      <c r="O459" s="171"/>
      <c r="P459" s="404">
        <f t="shared" si="279"/>
        <v>0</v>
      </c>
      <c r="Q459" s="481"/>
      <c r="R459" s="481"/>
      <c r="S459" s="481"/>
      <c r="T459" s="86">
        <v>0</v>
      </c>
      <c r="U459" s="86"/>
    </row>
    <row r="460" spans="1:21" ht="42.75" customHeight="1" x14ac:dyDescent="0.25">
      <c r="A460" s="469"/>
      <c r="B460" s="715" t="s">
        <v>360</v>
      </c>
      <c r="C460" s="127">
        <f t="shared" si="292"/>
        <v>450</v>
      </c>
      <c r="D460" s="480">
        <v>0</v>
      </c>
      <c r="E460" s="480">
        <v>0</v>
      </c>
      <c r="F460" s="480">
        <v>450</v>
      </c>
      <c r="G460" s="170">
        <v>0</v>
      </c>
      <c r="H460" s="480">
        <v>0</v>
      </c>
      <c r="I460" s="404">
        <f t="shared" si="293"/>
        <v>450</v>
      </c>
      <c r="J460" s="481">
        <v>0</v>
      </c>
      <c r="K460" s="481">
        <v>0</v>
      </c>
      <c r="L460" s="481">
        <f>SUM(L461:L462)</f>
        <v>450</v>
      </c>
      <c r="M460" s="86">
        <v>0</v>
      </c>
      <c r="N460" s="480">
        <v>0</v>
      </c>
      <c r="O460" s="171"/>
      <c r="P460" s="404">
        <f t="shared" si="279"/>
        <v>450</v>
      </c>
      <c r="Q460" s="481">
        <v>0</v>
      </c>
      <c r="R460" s="481">
        <v>0</v>
      </c>
      <c r="S460" s="481">
        <f>SUM(S461:S462)</f>
        <v>450</v>
      </c>
      <c r="T460" s="86">
        <v>0</v>
      </c>
      <c r="U460" s="86">
        <f>U461+U462</f>
        <v>0</v>
      </c>
    </row>
    <row r="461" spans="1:21" ht="39" customHeight="1" x14ac:dyDescent="0.25">
      <c r="A461" s="469"/>
      <c r="B461" s="716" t="s">
        <v>361</v>
      </c>
      <c r="C461" s="127">
        <f t="shared" si="292"/>
        <v>300</v>
      </c>
      <c r="D461" s="480"/>
      <c r="E461" s="480"/>
      <c r="F461" s="480">
        <v>300</v>
      </c>
      <c r="G461" s="170">
        <v>0</v>
      </c>
      <c r="H461" s="480"/>
      <c r="I461" s="404">
        <f t="shared" si="293"/>
        <v>300</v>
      </c>
      <c r="J461" s="481"/>
      <c r="K461" s="481"/>
      <c r="L461" s="481">
        <v>300</v>
      </c>
      <c r="M461" s="86">
        <v>0</v>
      </c>
      <c r="N461" s="480"/>
      <c r="O461" s="171"/>
      <c r="P461" s="404">
        <f t="shared" si="279"/>
        <v>300</v>
      </c>
      <c r="Q461" s="481"/>
      <c r="R461" s="481"/>
      <c r="S461" s="481">
        <v>300</v>
      </c>
      <c r="T461" s="86">
        <v>0</v>
      </c>
      <c r="U461" s="86">
        <v>0</v>
      </c>
    </row>
    <row r="462" spans="1:21" ht="36" customHeight="1" x14ac:dyDescent="0.25">
      <c r="A462" s="469"/>
      <c r="B462" s="716" t="s">
        <v>362</v>
      </c>
      <c r="C462" s="127">
        <f t="shared" si="292"/>
        <v>150</v>
      </c>
      <c r="D462" s="480"/>
      <c r="E462" s="480"/>
      <c r="F462" s="480">
        <v>150</v>
      </c>
      <c r="G462" s="170">
        <v>0</v>
      </c>
      <c r="H462" s="480"/>
      <c r="I462" s="404">
        <f t="shared" si="293"/>
        <v>150</v>
      </c>
      <c r="J462" s="481"/>
      <c r="K462" s="481"/>
      <c r="L462" s="481">
        <v>150</v>
      </c>
      <c r="M462" s="86">
        <v>0</v>
      </c>
      <c r="N462" s="480"/>
      <c r="O462" s="171"/>
      <c r="P462" s="404">
        <f t="shared" si="279"/>
        <v>150</v>
      </c>
      <c r="Q462" s="481"/>
      <c r="R462" s="481"/>
      <c r="S462" s="481">
        <v>150</v>
      </c>
      <c r="T462" s="86">
        <v>0</v>
      </c>
      <c r="U462" s="86">
        <v>0</v>
      </c>
    </row>
    <row r="463" spans="1:21" ht="31.5" x14ac:dyDescent="0.25">
      <c r="A463" s="469"/>
      <c r="B463" s="715" t="s">
        <v>363</v>
      </c>
      <c r="C463" s="127">
        <f t="shared" si="292"/>
        <v>232</v>
      </c>
      <c r="D463" s="480">
        <v>0</v>
      </c>
      <c r="E463" s="480">
        <v>0</v>
      </c>
      <c r="F463" s="480">
        <v>232</v>
      </c>
      <c r="G463" s="170">
        <v>0</v>
      </c>
      <c r="H463" s="480">
        <v>0</v>
      </c>
      <c r="I463" s="404">
        <f t="shared" si="293"/>
        <v>440.392</v>
      </c>
      <c r="J463" s="481">
        <v>0</v>
      </c>
      <c r="K463" s="481">
        <v>0</v>
      </c>
      <c r="L463" s="481">
        <v>440.392</v>
      </c>
      <c r="M463" s="86">
        <v>0</v>
      </c>
      <c r="N463" s="480">
        <v>0</v>
      </c>
      <c r="O463" s="171"/>
      <c r="P463" s="404">
        <f t="shared" si="279"/>
        <v>440.392</v>
      </c>
      <c r="Q463" s="481">
        <v>0</v>
      </c>
      <c r="R463" s="481">
        <v>0</v>
      </c>
      <c r="S463" s="481">
        <v>440.392</v>
      </c>
      <c r="T463" s="86">
        <v>0</v>
      </c>
      <c r="U463" s="86">
        <f>U464+U465</f>
        <v>0</v>
      </c>
    </row>
    <row r="464" spans="1:21" ht="31.5" hidden="1" customHeight="1" x14ac:dyDescent="0.25">
      <c r="A464" s="469"/>
      <c r="B464" s="716" t="s">
        <v>364</v>
      </c>
      <c r="C464" s="127">
        <f t="shared" si="292"/>
        <v>0</v>
      </c>
      <c r="D464" s="480"/>
      <c r="E464" s="480"/>
      <c r="F464" s="480"/>
      <c r="G464" s="170">
        <v>0</v>
      </c>
      <c r="H464" s="480"/>
      <c r="I464" s="404">
        <f t="shared" si="293"/>
        <v>83.356800000000007</v>
      </c>
      <c r="J464" s="481"/>
      <c r="K464" s="481"/>
      <c r="L464" s="481">
        <v>83.356800000000007</v>
      </c>
      <c r="M464" s="86">
        <v>0</v>
      </c>
      <c r="N464" s="480"/>
      <c r="O464" s="171"/>
      <c r="P464" s="404">
        <f t="shared" si="279"/>
        <v>83.356800000000007</v>
      </c>
      <c r="Q464" s="481"/>
      <c r="R464" s="481"/>
      <c r="S464" s="481">
        <v>83.356800000000007</v>
      </c>
      <c r="T464" s="86">
        <v>0</v>
      </c>
      <c r="U464" s="86"/>
    </row>
    <row r="465" spans="1:21" ht="40.5" customHeight="1" x14ac:dyDescent="0.25">
      <c r="A465" s="469"/>
      <c r="B465" s="716" t="s">
        <v>365</v>
      </c>
      <c r="C465" s="127">
        <f t="shared" si="292"/>
        <v>232</v>
      </c>
      <c r="D465" s="480"/>
      <c r="E465" s="480"/>
      <c r="F465" s="480">
        <v>232</v>
      </c>
      <c r="G465" s="170">
        <v>0</v>
      </c>
      <c r="H465" s="480"/>
      <c r="I465" s="404">
        <f t="shared" si="293"/>
        <v>357.03519999999997</v>
      </c>
      <c r="J465" s="481"/>
      <c r="K465" s="481"/>
      <c r="L465" s="481">
        <v>357.03519999999997</v>
      </c>
      <c r="M465" s="86">
        <v>0</v>
      </c>
      <c r="N465" s="480"/>
      <c r="O465" s="171"/>
      <c r="P465" s="404">
        <f t="shared" si="279"/>
        <v>357.03519999999997</v>
      </c>
      <c r="Q465" s="481"/>
      <c r="R465" s="481"/>
      <c r="S465" s="481">
        <v>357.03519999999997</v>
      </c>
      <c r="T465" s="86">
        <v>0</v>
      </c>
      <c r="U465" s="86">
        <v>0</v>
      </c>
    </row>
    <row r="466" spans="1:21" ht="36" customHeight="1" x14ac:dyDescent="0.25">
      <c r="A466" s="469"/>
      <c r="B466" s="715" t="s">
        <v>366</v>
      </c>
      <c r="C466" s="127">
        <f t="shared" si="292"/>
        <v>667.024</v>
      </c>
      <c r="D466" s="480">
        <v>0</v>
      </c>
      <c r="E466" s="480">
        <v>0</v>
      </c>
      <c r="F466" s="480">
        <v>667.024</v>
      </c>
      <c r="G466" s="170">
        <v>0</v>
      </c>
      <c r="H466" s="480">
        <v>0</v>
      </c>
      <c r="I466" s="404">
        <f t="shared" si="293"/>
        <v>0</v>
      </c>
      <c r="J466" s="481">
        <v>0</v>
      </c>
      <c r="K466" s="481">
        <v>0</v>
      </c>
      <c r="L466" s="481">
        <v>0</v>
      </c>
      <c r="M466" s="86">
        <v>0</v>
      </c>
      <c r="N466" s="480">
        <v>0</v>
      </c>
      <c r="O466" s="171"/>
      <c r="P466" s="404">
        <f t="shared" si="279"/>
        <v>0</v>
      </c>
      <c r="Q466" s="481">
        <v>0</v>
      </c>
      <c r="R466" s="481">
        <v>0</v>
      </c>
      <c r="S466" s="481">
        <v>0</v>
      </c>
      <c r="T466" s="86">
        <v>0</v>
      </c>
      <c r="U466" s="86">
        <f>U467+U468</f>
        <v>0</v>
      </c>
    </row>
    <row r="467" spans="1:21" ht="36.75" customHeight="1" x14ac:dyDescent="0.25">
      <c r="A467" s="469"/>
      <c r="B467" s="716" t="s">
        <v>367</v>
      </c>
      <c r="C467" s="127">
        <f t="shared" si="292"/>
        <v>566.69100000000003</v>
      </c>
      <c r="D467" s="480"/>
      <c r="E467" s="480"/>
      <c r="F467" s="481">
        <v>566.69100000000003</v>
      </c>
      <c r="G467" s="170">
        <v>0</v>
      </c>
      <c r="H467" s="480"/>
      <c r="I467" s="404">
        <f t="shared" si="293"/>
        <v>0</v>
      </c>
      <c r="J467" s="481"/>
      <c r="K467" s="481"/>
      <c r="L467" s="481"/>
      <c r="M467" s="86">
        <v>0</v>
      </c>
      <c r="N467" s="480"/>
      <c r="O467" s="171"/>
      <c r="P467" s="404">
        <f t="shared" si="279"/>
        <v>0</v>
      </c>
      <c r="Q467" s="481"/>
      <c r="R467" s="481"/>
      <c r="S467" s="481"/>
      <c r="T467" s="86">
        <v>0</v>
      </c>
      <c r="U467" s="86">
        <v>0</v>
      </c>
    </row>
    <row r="468" spans="1:21" ht="31.5" x14ac:dyDescent="0.25">
      <c r="A468" s="469"/>
      <c r="B468" s="716" t="s">
        <v>368</v>
      </c>
      <c r="C468" s="127">
        <f t="shared" si="292"/>
        <v>100.333</v>
      </c>
      <c r="D468" s="480"/>
      <c r="E468" s="480"/>
      <c r="F468" s="481">
        <v>100.333</v>
      </c>
      <c r="G468" s="170">
        <v>0</v>
      </c>
      <c r="H468" s="480"/>
      <c r="I468" s="404">
        <f t="shared" si="293"/>
        <v>0</v>
      </c>
      <c r="J468" s="481"/>
      <c r="K468" s="481"/>
      <c r="L468" s="481"/>
      <c r="M468" s="86">
        <v>0</v>
      </c>
      <c r="N468" s="480"/>
      <c r="O468" s="171"/>
      <c r="P468" s="404">
        <f t="shared" si="279"/>
        <v>0</v>
      </c>
      <c r="Q468" s="481"/>
      <c r="R468" s="481"/>
      <c r="S468" s="481"/>
      <c r="T468" s="86">
        <v>0</v>
      </c>
      <c r="U468" s="86">
        <v>0</v>
      </c>
    </row>
    <row r="469" spans="1:21" ht="31.5" x14ac:dyDescent="0.25">
      <c r="A469" s="469"/>
      <c r="B469" s="715" t="s">
        <v>369</v>
      </c>
      <c r="C469" s="127">
        <f t="shared" si="292"/>
        <v>50</v>
      </c>
      <c r="D469" s="480">
        <v>0</v>
      </c>
      <c r="E469" s="480">
        <v>0</v>
      </c>
      <c r="F469" s="480">
        <v>50</v>
      </c>
      <c r="G469" s="170">
        <v>0</v>
      </c>
      <c r="H469" s="480">
        <v>0</v>
      </c>
      <c r="I469" s="404">
        <f t="shared" si="293"/>
        <v>247.3</v>
      </c>
      <c r="J469" s="481">
        <v>0</v>
      </c>
      <c r="K469" s="481">
        <v>0</v>
      </c>
      <c r="L469" s="481">
        <v>247.3</v>
      </c>
      <c r="M469" s="86">
        <v>0</v>
      </c>
      <c r="N469" s="480">
        <v>0</v>
      </c>
      <c r="O469" s="171"/>
      <c r="P469" s="404">
        <f t="shared" si="279"/>
        <v>247.3</v>
      </c>
      <c r="Q469" s="481">
        <v>0</v>
      </c>
      <c r="R469" s="481">
        <v>0</v>
      </c>
      <c r="S469" s="481">
        <v>247.3</v>
      </c>
      <c r="T469" s="86">
        <v>0</v>
      </c>
      <c r="U469" s="86">
        <f>U470</f>
        <v>0</v>
      </c>
    </row>
    <row r="470" spans="1:21" ht="31.5" x14ac:dyDescent="0.25">
      <c r="A470" s="469"/>
      <c r="B470" s="716" t="s">
        <v>369</v>
      </c>
      <c r="C470" s="127">
        <f t="shared" si="292"/>
        <v>50</v>
      </c>
      <c r="D470" s="480"/>
      <c r="E470" s="480"/>
      <c r="F470" s="480">
        <v>50</v>
      </c>
      <c r="G470" s="170">
        <v>0</v>
      </c>
      <c r="H470" s="480"/>
      <c r="I470" s="404">
        <f t="shared" si="293"/>
        <v>247.3</v>
      </c>
      <c r="J470" s="481"/>
      <c r="K470" s="481"/>
      <c r="L470" s="481">
        <v>247.3</v>
      </c>
      <c r="M470" s="86">
        <v>0</v>
      </c>
      <c r="N470" s="480"/>
      <c r="O470" s="171"/>
      <c r="P470" s="404">
        <f t="shared" si="279"/>
        <v>247.3</v>
      </c>
      <c r="Q470" s="481"/>
      <c r="R470" s="481"/>
      <c r="S470" s="481">
        <v>247.3</v>
      </c>
      <c r="T470" s="86">
        <v>0</v>
      </c>
      <c r="U470" s="86">
        <v>0</v>
      </c>
    </row>
    <row r="471" spans="1:21" ht="31.5" hidden="1" customHeight="1" x14ac:dyDescent="0.25">
      <c r="A471" s="469"/>
      <c r="B471" s="715" t="s">
        <v>370</v>
      </c>
      <c r="C471" s="127">
        <f t="shared" si="292"/>
        <v>0</v>
      </c>
      <c r="D471" s="480"/>
      <c r="E471" s="480"/>
      <c r="F471" s="480"/>
      <c r="G471" s="170">
        <v>0</v>
      </c>
      <c r="H471" s="480"/>
      <c r="I471" s="404">
        <f t="shared" si="293"/>
        <v>0</v>
      </c>
      <c r="J471" s="481"/>
      <c r="K471" s="481"/>
      <c r="L471" s="481"/>
      <c r="M471" s="86">
        <v>0</v>
      </c>
      <c r="N471" s="480"/>
      <c r="O471" s="171"/>
      <c r="P471" s="404">
        <f t="shared" si="279"/>
        <v>0</v>
      </c>
      <c r="Q471" s="481"/>
      <c r="R471" s="481"/>
      <c r="S471" s="481"/>
      <c r="T471" s="86">
        <v>0</v>
      </c>
      <c r="U471" s="86"/>
    </row>
    <row r="472" spans="1:21" ht="25.5" customHeight="1" x14ac:dyDescent="0.25">
      <c r="A472" s="469"/>
      <c r="B472" s="715" t="s">
        <v>371</v>
      </c>
      <c r="C472" s="127">
        <f t="shared" si="292"/>
        <v>7351.9</v>
      </c>
      <c r="D472" s="480">
        <v>0</v>
      </c>
      <c r="E472" s="480">
        <v>3000</v>
      </c>
      <c r="F472" s="480">
        <v>3601.9</v>
      </c>
      <c r="G472" s="170">
        <v>0</v>
      </c>
      <c r="H472" s="480">
        <v>750</v>
      </c>
      <c r="I472" s="404">
        <f t="shared" si="293"/>
        <v>195303.95480000001</v>
      </c>
      <c r="J472" s="481">
        <v>127706.13373</v>
      </c>
      <c r="K472" s="481">
        <v>55981.977880000006</v>
      </c>
      <c r="L472" s="481">
        <v>11615.84319</v>
      </c>
      <c r="M472" s="86">
        <v>0</v>
      </c>
      <c r="N472" s="480"/>
      <c r="O472" s="171"/>
      <c r="P472" s="404">
        <f t="shared" si="279"/>
        <v>187599.32556</v>
      </c>
      <c r="Q472" s="481">
        <v>127706.13373</v>
      </c>
      <c r="R472" s="481">
        <v>50085.96226</v>
      </c>
      <c r="S472" s="481">
        <v>9807.2295699999995</v>
      </c>
      <c r="T472" s="86">
        <v>0</v>
      </c>
      <c r="U472" s="86">
        <f>U473+U474+U475</f>
        <v>0</v>
      </c>
    </row>
    <row r="473" spans="1:21" ht="21" customHeight="1" x14ac:dyDescent="0.25">
      <c r="A473" s="469"/>
      <c r="B473" s="484" t="s">
        <v>372</v>
      </c>
      <c r="C473" s="127">
        <f t="shared" si="292"/>
        <v>0</v>
      </c>
      <c r="D473" s="481"/>
      <c r="E473" s="481"/>
      <c r="F473" s="481"/>
      <c r="G473" s="170">
        <v>0</v>
      </c>
      <c r="H473" s="481"/>
      <c r="I473" s="404">
        <f t="shared" si="293"/>
        <v>184559.64215000003</v>
      </c>
      <c r="J473" s="481">
        <v>127706.13373</v>
      </c>
      <c r="K473" s="481">
        <v>52981.977880000006</v>
      </c>
      <c r="L473" s="481">
        <v>3871.5305400000002</v>
      </c>
      <c r="M473" s="86">
        <v>0</v>
      </c>
      <c r="N473" s="481"/>
      <c r="O473" s="171"/>
      <c r="P473" s="404">
        <f t="shared" si="279"/>
        <v>178030.01251</v>
      </c>
      <c r="Q473" s="481">
        <v>127706.13373</v>
      </c>
      <c r="R473" s="481">
        <v>47085.96226</v>
      </c>
      <c r="S473" s="481">
        <v>3237.9165199999998</v>
      </c>
      <c r="T473" s="86">
        <v>0</v>
      </c>
      <c r="U473" s="86">
        <v>0</v>
      </c>
    </row>
    <row r="474" spans="1:21" x14ac:dyDescent="0.25">
      <c r="A474" s="469"/>
      <c r="B474" s="484" t="s">
        <v>373</v>
      </c>
      <c r="C474" s="127">
        <f>SUM(D474:H474)</f>
        <v>7351.9</v>
      </c>
      <c r="D474" s="482"/>
      <c r="E474" s="481">
        <v>3000</v>
      </c>
      <c r="F474" s="481">
        <v>3601.9</v>
      </c>
      <c r="G474" s="170">
        <v>0</v>
      </c>
      <c r="H474" s="482">
        <v>750</v>
      </c>
      <c r="I474" s="404">
        <f t="shared" si="293"/>
        <v>8282.7260000000006</v>
      </c>
      <c r="J474" s="481"/>
      <c r="K474" s="481">
        <v>3000</v>
      </c>
      <c r="L474" s="481">
        <v>5282.7260000000006</v>
      </c>
      <c r="M474" s="86">
        <v>0</v>
      </c>
      <c r="N474" s="482"/>
      <c r="O474" s="171"/>
      <c r="P474" s="404">
        <f t="shared" si="279"/>
        <v>8282.7263999999996</v>
      </c>
      <c r="Q474" s="481"/>
      <c r="R474" s="481">
        <v>3000</v>
      </c>
      <c r="S474" s="481">
        <v>5282.7264000000005</v>
      </c>
      <c r="T474" s="86">
        <v>0</v>
      </c>
      <c r="U474" s="86">
        <v>0</v>
      </c>
    </row>
    <row r="475" spans="1:21" ht="24" customHeight="1" x14ac:dyDescent="0.25">
      <c r="A475" s="469"/>
      <c r="B475" s="484" t="s">
        <v>374</v>
      </c>
      <c r="C475" s="127">
        <f t="shared" si="292"/>
        <v>0</v>
      </c>
      <c r="D475" s="481"/>
      <c r="E475" s="481"/>
      <c r="F475" s="481"/>
      <c r="G475" s="170">
        <v>0</v>
      </c>
      <c r="H475" s="481"/>
      <c r="I475" s="404">
        <f t="shared" si="293"/>
        <v>2461.5866500000002</v>
      </c>
      <c r="J475" s="481"/>
      <c r="K475" s="481"/>
      <c r="L475" s="481">
        <v>2461.5866500000002</v>
      </c>
      <c r="M475" s="86">
        <v>0</v>
      </c>
      <c r="N475" s="481"/>
      <c r="O475" s="171"/>
      <c r="P475" s="404">
        <f t="shared" si="279"/>
        <v>1286.58665</v>
      </c>
      <c r="Q475" s="481"/>
      <c r="R475" s="481"/>
      <c r="S475" s="481">
        <v>1286.58665</v>
      </c>
      <c r="T475" s="86">
        <v>0</v>
      </c>
      <c r="U475" s="86">
        <v>0</v>
      </c>
    </row>
    <row r="476" spans="1:21" ht="31.5" hidden="1" customHeight="1" x14ac:dyDescent="0.25">
      <c r="A476" s="469"/>
      <c r="B476" s="719" t="s">
        <v>375</v>
      </c>
      <c r="C476" s="127">
        <f t="shared" si="292"/>
        <v>0</v>
      </c>
      <c r="D476" s="481"/>
      <c r="E476" s="481"/>
      <c r="F476" s="481"/>
      <c r="G476" s="86"/>
      <c r="H476" s="481"/>
      <c r="I476" s="404">
        <f t="shared" si="293"/>
        <v>0</v>
      </c>
      <c r="J476" s="481"/>
      <c r="K476" s="481"/>
      <c r="L476" s="481"/>
      <c r="M476" s="86"/>
      <c r="N476" s="481"/>
      <c r="O476" s="171"/>
      <c r="P476" s="404">
        <f t="shared" si="279"/>
        <v>0</v>
      </c>
      <c r="Q476" s="481"/>
      <c r="R476" s="481"/>
      <c r="S476" s="481"/>
      <c r="T476" s="86"/>
      <c r="U476" s="86"/>
    </row>
    <row r="477" spans="1:21" ht="31.5" hidden="1" x14ac:dyDescent="0.25">
      <c r="A477" s="469"/>
      <c r="B477" s="75" t="s">
        <v>376</v>
      </c>
      <c r="C477" s="127">
        <f t="shared" si="292"/>
        <v>0</v>
      </c>
      <c r="D477" s="86"/>
      <c r="E477" s="86"/>
      <c r="F477" s="86"/>
      <c r="G477" s="86"/>
      <c r="H477" s="86"/>
      <c r="I477" s="404">
        <f t="shared" si="293"/>
        <v>0</v>
      </c>
      <c r="J477" s="86"/>
      <c r="K477" s="86"/>
      <c r="L477" s="86"/>
      <c r="M477" s="86"/>
      <c r="N477" s="86"/>
      <c r="O477" s="171"/>
      <c r="P477" s="404">
        <f t="shared" ref="P477:P496" si="294">SUM(Q477:U477)</f>
        <v>0</v>
      </c>
      <c r="Q477" s="86"/>
      <c r="R477" s="86"/>
      <c r="S477" s="86"/>
      <c r="T477" s="86"/>
      <c r="U477" s="86"/>
    </row>
    <row r="478" spans="1:21" ht="31.5" x14ac:dyDescent="0.25">
      <c r="A478" s="469"/>
      <c r="B478" s="315" t="s">
        <v>377</v>
      </c>
      <c r="C478" s="127">
        <f>SUM(D478:H478)</f>
        <v>7322</v>
      </c>
      <c r="D478" s="325">
        <f>D479+D480</f>
        <v>0</v>
      </c>
      <c r="E478" s="325">
        <f>E479+E480</f>
        <v>4051</v>
      </c>
      <c r="F478" s="325">
        <f>F479+F480</f>
        <v>3271</v>
      </c>
      <c r="G478" s="325">
        <v>0</v>
      </c>
      <c r="H478" s="325">
        <f>H479+H480</f>
        <v>0</v>
      </c>
      <c r="I478" s="404">
        <f t="shared" si="293"/>
        <v>7322</v>
      </c>
      <c r="J478" s="325">
        <f>J479+J480</f>
        <v>0</v>
      </c>
      <c r="K478" s="325">
        <f>K479+K480</f>
        <v>4051</v>
      </c>
      <c r="L478" s="325">
        <f>L479+L480</f>
        <v>3271</v>
      </c>
      <c r="M478" s="325">
        <v>0</v>
      </c>
      <c r="N478" s="325">
        <f>N479+N480</f>
        <v>0</v>
      </c>
      <c r="O478" s="171"/>
      <c r="P478" s="404">
        <f t="shared" si="294"/>
        <v>7322</v>
      </c>
      <c r="Q478" s="325">
        <f>Q479+Q480</f>
        <v>0</v>
      </c>
      <c r="R478" s="325">
        <f>R479+R480</f>
        <v>4051</v>
      </c>
      <c r="S478" s="325">
        <f>S479+S480</f>
        <v>3271</v>
      </c>
      <c r="T478" s="325">
        <v>0</v>
      </c>
      <c r="U478" s="325">
        <f>U479+U480</f>
        <v>0</v>
      </c>
    </row>
    <row r="479" spans="1:21" ht="31.5" x14ac:dyDescent="0.25">
      <c r="A479" s="469"/>
      <c r="B479" s="140" t="s">
        <v>378</v>
      </c>
      <c r="C479" s="127">
        <f>SUM(D479:H479)</f>
        <v>7122</v>
      </c>
      <c r="D479" s="480"/>
      <c r="E479" s="480">
        <v>4051</v>
      </c>
      <c r="F479" s="480">
        <v>3071</v>
      </c>
      <c r="G479" s="171">
        <v>0</v>
      </c>
      <c r="H479" s="171">
        <v>0</v>
      </c>
      <c r="I479" s="404">
        <f t="shared" si="293"/>
        <v>7122</v>
      </c>
      <c r="J479" s="85">
        <v>0</v>
      </c>
      <c r="K479" s="85">
        <f>2.11533+4048.88467</f>
        <v>4051</v>
      </c>
      <c r="L479" s="86">
        <f>40+14.62535+10+26.5+3179.87465-200</f>
        <v>3071</v>
      </c>
      <c r="M479" s="85">
        <v>0</v>
      </c>
      <c r="N479" s="85">
        <v>0</v>
      </c>
      <c r="O479" s="171"/>
      <c r="P479" s="404">
        <f t="shared" si="294"/>
        <v>7122</v>
      </c>
      <c r="Q479" s="481"/>
      <c r="R479" s="481">
        <v>4051</v>
      </c>
      <c r="S479" s="481">
        <v>3071</v>
      </c>
      <c r="T479" s="85">
        <v>0</v>
      </c>
      <c r="U479" s="85">
        <v>0</v>
      </c>
    </row>
    <row r="480" spans="1:21" ht="29.25" customHeight="1" x14ac:dyDescent="0.25">
      <c r="A480" s="469"/>
      <c r="B480" s="140" t="s">
        <v>379</v>
      </c>
      <c r="C480" s="127">
        <f t="shared" ref="C480" si="295">SUM(D480:H480)</f>
        <v>200</v>
      </c>
      <c r="D480" s="480"/>
      <c r="E480" s="480"/>
      <c r="F480" s="480">
        <v>200</v>
      </c>
      <c r="G480" s="171">
        <v>0</v>
      </c>
      <c r="H480" s="171">
        <v>0</v>
      </c>
      <c r="I480" s="404">
        <f t="shared" si="293"/>
        <v>200</v>
      </c>
      <c r="J480" s="85">
        <v>0</v>
      </c>
      <c r="K480" s="85">
        <v>0</v>
      </c>
      <c r="L480" s="86">
        <v>200</v>
      </c>
      <c r="M480" s="85">
        <v>0</v>
      </c>
      <c r="N480" s="85">
        <v>0</v>
      </c>
      <c r="O480" s="171"/>
      <c r="P480" s="404">
        <f t="shared" si="294"/>
        <v>200</v>
      </c>
      <c r="Q480" s="481"/>
      <c r="R480" s="481"/>
      <c r="S480" s="481">
        <v>200</v>
      </c>
      <c r="T480" s="85">
        <v>0</v>
      </c>
      <c r="U480" s="85">
        <v>0</v>
      </c>
    </row>
    <row r="481" spans="1:22" hidden="1" x14ac:dyDescent="0.25">
      <c r="A481" s="90"/>
      <c r="B481" s="141" t="s">
        <v>380</v>
      </c>
      <c r="C481" s="127">
        <f t="shared" si="292"/>
        <v>0</v>
      </c>
      <c r="D481" s="139">
        <f>D482+D483</f>
        <v>0</v>
      </c>
      <c r="E481" s="139">
        <f>E482+E483</f>
        <v>0</v>
      </c>
      <c r="F481" s="139">
        <f>F482+F483</f>
        <v>0</v>
      </c>
      <c r="G481" s="139"/>
      <c r="H481" s="139">
        <f>H482+H483</f>
        <v>0</v>
      </c>
      <c r="I481" s="404">
        <f t="shared" si="293"/>
        <v>0</v>
      </c>
      <c r="J481" s="139">
        <f>J482+J483</f>
        <v>0</v>
      </c>
      <c r="K481" s="139">
        <f>K482+K483</f>
        <v>0</v>
      </c>
      <c r="L481" s="139">
        <f>L482+L483</f>
        <v>0</v>
      </c>
      <c r="M481" s="139"/>
      <c r="N481" s="139">
        <f>N482+N483</f>
        <v>0</v>
      </c>
      <c r="O481" s="171"/>
      <c r="P481" s="404">
        <f t="shared" si="294"/>
        <v>0</v>
      </c>
      <c r="Q481" s="139">
        <f>Q482+Q483</f>
        <v>0</v>
      </c>
      <c r="R481" s="139">
        <f>R482+R483</f>
        <v>0</v>
      </c>
      <c r="S481" s="139">
        <f>S482+S483</f>
        <v>0</v>
      </c>
      <c r="T481" s="139"/>
      <c r="U481" s="139">
        <f>U482+U483</f>
        <v>0</v>
      </c>
    </row>
    <row r="482" spans="1:22" hidden="1" x14ac:dyDescent="0.25">
      <c r="A482" s="469"/>
      <c r="B482" s="23" t="s">
        <v>380</v>
      </c>
      <c r="C482" s="127">
        <f t="shared" si="292"/>
        <v>0</v>
      </c>
      <c r="D482" s="86"/>
      <c r="E482" s="86"/>
      <c r="F482" s="86"/>
      <c r="G482" s="86"/>
      <c r="H482" s="86"/>
      <c r="I482" s="404">
        <f t="shared" si="293"/>
        <v>0</v>
      </c>
      <c r="J482" s="86"/>
      <c r="K482" s="86"/>
      <c r="L482" s="86"/>
      <c r="M482" s="86"/>
      <c r="N482" s="86"/>
      <c r="O482" s="171"/>
      <c r="P482" s="404">
        <f t="shared" si="294"/>
        <v>0</v>
      </c>
      <c r="Q482" s="86"/>
      <c r="R482" s="86"/>
      <c r="S482" s="86"/>
      <c r="T482" s="86"/>
      <c r="U482" s="86"/>
    </row>
    <row r="483" spans="1:22" ht="31.5" hidden="1" x14ac:dyDescent="0.25">
      <c r="A483" s="469"/>
      <c r="B483" s="88" t="s">
        <v>377</v>
      </c>
      <c r="C483" s="127">
        <f>SUM(C484:C485)</f>
        <v>0</v>
      </c>
      <c r="D483" s="171"/>
      <c r="E483" s="129"/>
      <c r="F483" s="129"/>
      <c r="G483" s="129"/>
      <c r="H483" s="129"/>
      <c r="I483" s="404">
        <f t="shared" si="293"/>
        <v>0</v>
      </c>
      <c r="J483" s="170"/>
      <c r="K483" s="128"/>
      <c r="L483" s="128"/>
      <c r="M483" s="170"/>
      <c r="N483" s="170"/>
      <c r="O483" s="170"/>
      <c r="P483" s="404">
        <f t="shared" si="294"/>
        <v>0</v>
      </c>
      <c r="Q483" s="129"/>
      <c r="R483" s="129"/>
      <c r="S483" s="129"/>
      <c r="T483" s="129"/>
      <c r="U483" s="129"/>
    </row>
    <row r="484" spans="1:22" ht="31.5" hidden="1" x14ac:dyDescent="0.25">
      <c r="A484" s="469"/>
      <c r="B484" s="88" t="s">
        <v>378</v>
      </c>
      <c r="C484" s="127">
        <f t="shared" si="292"/>
        <v>0</v>
      </c>
      <c r="D484" s="171"/>
      <c r="E484" s="171"/>
      <c r="F484" s="135"/>
      <c r="G484" s="171"/>
      <c r="H484" s="171"/>
      <c r="I484" s="404">
        <f t="shared" si="293"/>
        <v>0</v>
      </c>
      <c r="J484" s="170"/>
      <c r="K484" s="170"/>
      <c r="L484" s="170"/>
      <c r="M484" s="170"/>
      <c r="N484" s="170"/>
      <c r="O484" s="170"/>
      <c r="P484" s="404">
        <f t="shared" si="294"/>
        <v>0</v>
      </c>
      <c r="Q484" s="171"/>
      <c r="R484" s="171"/>
      <c r="S484" s="171"/>
      <c r="T484" s="171"/>
      <c r="U484" s="171"/>
    </row>
    <row r="485" spans="1:22" hidden="1" x14ac:dyDescent="0.25">
      <c r="A485" s="469"/>
      <c r="B485" s="88" t="s">
        <v>379</v>
      </c>
      <c r="C485" s="127">
        <f t="shared" si="292"/>
        <v>0</v>
      </c>
      <c r="D485" s="171"/>
      <c r="E485" s="171"/>
      <c r="F485" s="135"/>
      <c r="G485" s="171"/>
      <c r="H485" s="171"/>
      <c r="I485" s="404">
        <f t="shared" si="293"/>
        <v>0</v>
      </c>
      <c r="J485" s="170"/>
      <c r="K485" s="170"/>
      <c r="L485" s="170"/>
      <c r="M485" s="170"/>
      <c r="N485" s="170"/>
      <c r="O485" s="170"/>
      <c r="P485" s="404">
        <f t="shared" si="294"/>
        <v>0</v>
      </c>
      <c r="Q485" s="171"/>
      <c r="R485" s="171"/>
      <c r="S485" s="171"/>
      <c r="T485" s="171"/>
      <c r="U485" s="171"/>
    </row>
    <row r="486" spans="1:22" ht="31.5" x14ac:dyDescent="0.25">
      <c r="A486" s="52">
        <v>20</v>
      </c>
      <c r="B486" s="89" t="s">
        <v>381</v>
      </c>
      <c r="C486" s="36">
        <f>SUM(C487:C488)</f>
        <v>505</v>
      </c>
      <c r="D486" s="172">
        <v>0</v>
      </c>
      <c r="E486" s="172">
        <v>0</v>
      </c>
      <c r="F486" s="36">
        <f>SUM(F487:F488)</f>
        <v>505</v>
      </c>
      <c r="G486" s="36">
        <f>SUM(G487:G488)</f>
        <v>0</v>
      </c>
      <c r="H486" s="36">
        <f>SUM(H487:H488)</f>
        <v>0</v>
      </c>
      <c r="I486" s="404">
        <f t="shared" si="293"/>
        <v>1259.03603</v>
      </c>
      <c r="J486" s="36">
        <f t="shared" ref="J486:O486" si="296">SUM(J487:J488)</f>
        <v>0</v>
      </c>
      <c r="K486" s="36">
        <f t="shared" si="296"/>
        <v>115.407</v>
      </c>
      <c r="L486" s="415">
        <f t="shared" si="296"/>
        <v>1143.6290300000001</v>
      </c>
      <c r="M486" s="36">
        <f t="shared" si="296"/>
        <v>0</v>
      </c>
      <c r="N486" s="36">
        <f t="shared" si="296"/>
        <v>0</v>
      </c>
      <c r="O486" s="36">
        <f t="shared" si="296"/>
        <v>0</v>
      </c>
      <c r="P486" s="404">
        <f t="shared" si="294"/>
        <v>1259.0359799999999</v>
      </c>
      <c r="Q486" s="36">
        <f>SUM(Q487:Q488)</f>
        <v>0</v>
      </c>
      <c r="R486" s="36">
        <f>SUM(R487:R488)</f>
        <v>115.407</v>
      </c>
      <c r="S486" s="109">
        <f>SUM(S487:S488)</f>
        <v>1143.62898</v>
      </c>
      <c r="T486" s="172">
        <v>0</v>
      </c>
      <c r="U486" s="172">
        <v>0</v>
      </c>
      <c r="V486" s="174"/>
    </row>
    <row r="487" spans="1:22" ht="23.25" customHeight="1" x14ac:dyDescent="0.25">
      <c r="A487" s="469"/>
      <c r="B487" s="166" t="s">
        <v>136</v>
      </c>
      <c r="C487" s="127">
        <f t="shared" ref="C487:C488" si="297">SUM(D487:H487)</f>
        <v>0</v>
      </c>
      <c r="D487" s="171">
        <v>0</v>
      </c>
      <c r="E487" s="171">
        <v>0</v>
      </c>
      <c r="F487" s="136"/>
      <c r="G487" s="171">
        <v>0</v>
      </c>
      <c r="H487" s="171">
        <v>0</v>
      </c>
      <c r="I487" s="404">
        <f t="shared" si="293"/>
        <v>638.62902999999994</v>
      </c>
      <c r="J487" s="171">
        <v>0</v>
      </c>
      <c r="K487" s="171">
        <v>0</v>
      </c>
      <c r="L487" s="117">
        <v>638.62902999999994</v>
      </c>
      <c r="M487" s="171">
        <v>0</v>
      </c>
      <c r="N487" s="171">
        <v>0</v>
      </c>
      <c r="O487" s="171"/>
      <c r="P487" s="404">
        <f t="shared" si="294"/>
        <v>638.62897999999996</v>
      </c>
      <c r="Q487" s="171">
        <v>0</v>
      </c>
      <c r="R487" s="171">
        <v>0</v>
      </c>
      <c r="S487" s="117">
        <v>638.62897999999996</v>
      </c>
      <c r="T487" s="171">
        <v>0</v>
      </c>
      <c r="U487" s="171">
        <v>0</v>
      </c>
    </row>
    <row r="488" spans="1:22" ht="36.75" customHeight="1" x14ac:dyDescent="0.25">
      <c r="A488" s="469"/>
      <c r="B488" s="166" t="s">
        <v>761</v>
      </c>
      <c r="C488" s="127">
        <f t="shared" si="297"/>
        <v>505</v>
      </c>
      <c r="D488" s="171">
        <v>0</v>
      </c>
      <c r="E488" s="171">
        <v>0</v>
      </c>
      <c r="F488" s="136">
        <v>505</v>
      </c>
      <c r="G488" s="171">
        <v>0</v>
      </c>
      <c r="H488" s="171">
        <v>0</v>
      </c>
      <c r="I488" s="404">
        <f>SUM(J488:N488)</f>
        <v>620.40700000000004</v>
      </c>
      <c r="J488" s="171">
        <v>0</v>
      </c>
      <c r="K488" s="170">
        <v>115.407</v>
      </c>
      <c r="L488" s="117">
        <v>505</v>
      </c>
      <c r="M488" s="171">
        <v>0</v>
      </c>
      <c r="N488" s="171">
        <v>0</v>
      </c>
      <c r="O488" s="171"/>
      <c r="P488" s="404">
        <f>SUM(Q488:U488)</f>
        <v>620.40700000000004</v>
      </c>
      <c r="Q488" s="171">
        <v>0</v>
      </c>
      <c r="R488" s="171">
        <v>115.407</v>
      </c>
      <c r="S488" s="117">
        <v>505</v>
      </c>
      <c r="T488" s="171">
        <v>0</v>
      </c>
      <c r="U488" s="171">
        <v>0</v>
      </c>
    </row>
    <row r="489" spans="1:22" ht="31.5" x14ac:dyDescent="0.25">
      <c r="A489" s="52">
        <v>21</v>
      </c>
      <c r="B489" s="167" t="s">
        <v>745</v>
      </c>
      <c r="C489" s="133"/>
      <c r="D489" s="137"/>
      <c r="E489" s="137"/>
      <c r="F489" s="137"/>
      <c r="G489" s="137"/>
      <c r="H489" s="137"/>
      <c r="I489" s="404">
        <f t="shared" si="293"/>
        <v>3050</v>
      </c>
      <c r="J489" s="111">
        <v>0</v>
      </c>
      <c r="K489" s="111">
        <v>0</v>
      </c>
      <c r="L489" s="172">
        <f>SUM(L490:L493)</f>
        <v>3050</v>
      </c>
      <c r="M489" s="111">
        <v>0</v>
      </c>
      <c r="N489" s="111">
        <v>0</v>
      </c>
      <c r="O489" s="111"/>
      <c r="P489" s="404">
        <f t="shared" si="294"/>
        <v>319.57099999999997</v>
      </c>
      <c r="Q489" s="111">
        <v>0</v>
      </c>
      <c r="R489" s="111">
        <v>0</v>
      </c>
      <c r="S489" s="51">
        <f>SUM(S490:S492)</f>
        <v>319.57099999999997</v>
      </c>
      <c r="T489" s="111">
        <v>0</v>
      </c>
      <c r="U489" s="111">
        <v>0</v>
      </c>
      <c r="V489" s="174"/>
    </row>
    <row r="490" spans="1:22" x14ac:dyDescent="0.25">
      <c r="A490" s="469"/>
      <c r="B490" s="18" t="s">
        <v>1034</v>
      </c>
      <c r="C490" s="133"/>
      <c r="D490" s="130"/>
      <c r="E490" s="130"/>
      <c r="F490" s="130"/>
      <c r="G490" s="130"/>
      <c r="H490" s="130"/>
      <c r="I490" s="404">
        <f t="shared" si="293"/>
        <v>250</v>
      </c>
      <c r="J490" s="171">
        <v>0</v>
      </c>
      <c r="K490" s="171">
        <v>0</v>
      </c>
      <c r="L490" s="171">
        <v>250</v>
      </c>
      <c r="M490" s="171">
        <v>0</v>
      </c>
      <c r="N490" s="171">
        <v>0</v>
      </c>
      <c r="O490" s="171"/>
      <c r="P490" s="404">
        <f t="shared" si="294"/>
        <v>244.45</v>
      </c>
      <c r="Q490" s="171">
        <v>0</v>
      </c>
      <c r="R490" s="171">
        <v>0</v>
      </c>
      <c r="S490" s="116">
        <v>244.45</v>
      </c>
      <c r="T490" s="171">
        <v>0</v>
      </c>
      <c r="U490" s="171">
        <v>0</v>
      </c>
    </row>
    <row r="491" spans="1:22" x14ac:dyDescent="0.25">
      <c r="A491" s="469"/>
      <c r="B491" s="4" t="s">
        <v>770</v>
      </c>
      <c r="C491" s="133"/>
      <c r="D491" s="130"/>
      <c r="E491" s="130"/>
      <c r="F491" s="130"/>
      <c r="G491" s="130"/>
      <c r="H491" s="130"/>
      <c r="I491" s="404">
        <f t="shared" si="293"/>
        <v>150</v>
      </c>
      <c r="J491" s="171">
        <v>0</v>
      </c>
      <c r="K491" s="171">
        <v>0</v>
      </c>
      <c r="L491" s="171">
        <v>150</v>
      </c>
      <c r="M491" s="171">
        <v>0</v>
      </c>
      <c r="N491" s="171">
        <v>0</v>
      </c>
      <c r="O491" s="171"/>
      <c r="P491" s="404">
        <f t="shared" si="294"/>
        <v>75.120999999999995</v>
      </c>
      <c r="Q491" s="171">
        <v>0</v>
      </c>
      <c r="R491" s="171">
        <v>0</v>
      </c>
      <c r="S491" s="116">
        <v>75.120999999999995</v>
      </c>
      <c r="T491" s="171">
        <v>0</v>
      </c>
      <c r="U491" s="171">
        <v>0</v>
      </c>
    </row>
    <row r="492" spans="1:22" x14ac:dyDescent="0.25">
      <c r="A492" s="469"/>
      <c r="B492" s="18" t="s">
        <v>771</v>
      </c>
      <c r="C492" s="133"/>
      <c r="D492" s="130"/>
      <c r="E492" s="130"/>
      <c r="F492" s="130"/>
      <c r="G492" s="130"/>
      <c r="H492" s="130"/>
      <c r="I492" s="404">
        <f t="shared" si="293"/>
        <v>150</v>
      </c>
      <c r="J492" s="171">
        <v>0</v>
      </c>
      <c r="K492" s="171">
        <v>0</v>
      </c>
      <c r="L492" s="171">
        <v>150</v>
      </c>
      <c r="M492" s="171">
        <v>0</v>
      </c>
      <c r="N492" s="171">
        <v>0</v>
      </c>
      <c r="O492" s="171"/>
      <c r="P492" s="404">
        <f t="shared" si="294"/>
        <v>0</v>
      </c>
      <c r="Q492" s="171">
        <v>0</v>
      </c>
      <c r="R492" s="171">
        <v>0</v>
      </c>
      <c r="S492" s="171">
        <v>0</v>
      </c>
      <c r="T492" s="171">
        <v>0</v>
      </c>
      <c r="U492" s="171">
        <v>0</v>
      </c>
    </row>
    <row r="493" spans="1:22" x14ac:dyDescent="0.25">
      <c r="A493" s="469"/>
      <c r="B493" s="18" t="s">
        <v>1120</v>
      </c>
      <c r="C493" s="133"/>
      <c r="D493" s="130"/>
      <c r="E493" s="130"/>
      <c r="F493" s="130"/>
      <c r="G493" s="130"/>
      <c r="H493" s="130"/>
      <c r="I493" s="404">
        <f t="shared" si="293"/>
        <v>2500</v>
      </c>
      <c r="J493" s="171"/>
      <c r="K493" s="171"/>
      <c r="L493" s="171">
        <v>2500</v>
      </c>
      <c r="M493" s="171"/>
      <c r="N493" s="171"/>
      <c r="O493" s="171"/>
      <c r="P493" s="404">
        <v>0</v>
      </c>
      <c r="Q493" s="171"/>
      <c r="R493" s="171"/>
      <c r="S493" s="171">
        <v>0</v>
      </c>
      <c r="T493" s="171"/>
      <c r="U493" s="171"/>
    </row>
    <row r="494" spans="1:22" ht="31.5" x14ac:dyDescent="0.25">
      <c r="A494" s="52">
        <v>22</v>
      </c>
      <c r="B494" s="175" t="s">
        <v>811</v>
      </c>
      <c r="C494" s="127">
        <f>SUM(D494:H494)</f>
        <v>388513.74</v>
      </c>
      <c r="D494" s="172">
        <v>102500</v>
      </c>
      <c r="E494" s="172">
        <v>57700</v>
      </c>
      <c r="F494" s="172">
        <v>1767.74</v>
      </c>
      <c r="G494" s="172">
        <v>0</v>
      </c>
      <c r="H494" s="172">
        <v>226546</v>
      </c>
      <c r="I494" s="404">
        <f t="shared" si="293"/>
        <v>0</v>
      </c>
      <c r="J494" s="111">
        <v>0</v>
      </c>
      <c r="K494" s="111">
        <v>0</v>
      </c>
      <c r="L494" s="111">
        <v>0</v>
      </c>
      <c r="M494" s="111">
        <v>0</v>
      </c>
      <c r="N494" s="111">
        <v>0</v>
      </c>
      <c r="O494" s="111"/>
      <c r="P494" s="404">
        <f t="shared" si="294"/>
        <v>0</v>
      </c>
      <c r="Q494" s="111">
        <v>0</v>
      </c>
      <c r="R494" s="111">
        <v>0</v>
      </c>
      <c r="S494" s="111">
        <v>0</v>
      </c>
      <c r="T494" s="111">
        <v>0</v>
      </c>
      <c r="U494" s="111">
        <v>0</v>
      </c>
      <c r="V494" s="174"/>
    </row>
    <row r="495" spans="1:22" x14ac:dyDescent="0.25">
      <c r="A495" s="52">
        <v>23</v>
      </c>
      <c r="B495" s="167" t="s">
        <v>744</v>
      </c>
      <c r="C495" s="36">
        <v>1000</v>
      </c>
      <c r="D495" s="172">
        <v>0</v>
      </c>
      <c r="E495" s="172">
        <v>0</v>
      </c>
      <c r="F495" s="172">
        <v>1000</v>
      </c>
      <c r="G495" s="138">
        <v>0</v>
      </c>
      <c r="H495" s="138">
        <v>0</v>
      </c>
      <c r="I495" s="404">
        <f t="shared" si="293"/>
        <v>306.31400000000002</v>
      </c>
      <c r="J495" s="111">
        <v>0</v>
      </c>
      <c r="K495" s="111">
        <v>0</v>
      </c>
      <c r="L495" s="111">
        <v>306.31400000000002</v>
      </c>
      <c r="M495" s="111">
        <v>0</v>
      </c>
      <c r="N495" s="111">
        <v>0</v>
      </c>
      <c r="O495" s="111"/>
      <c r="P495" s="404">
        <f t="shared" si="294"/>
        <v>113.768</v>
      </c>
      <c r="Q495" s="111">
        <v>0</v>
      </c>
      <c r="R495" s="111">
        <v>0</v>
      </c>
      <c r="S495" s="111">
        <v>113.768</v>
      </c>
      <c r="T495" s="111">
        <v>0</v>
      </c>
      <c r="U495" s="111">
        <v>0</v>
      </c>
      <c r="V495" s="174"/>
    </row>
    <row r="496" spans="1:22" x14ac:dyDescent="0.25">
      <c r="A496" s="52"/>
      <c r="B496" s="8" t="s">
        <v>782</v>
      </c>
      <c r="C496" s="404">
        <f t="shared" ref="C496" si="298">SUM(D496:H496)</f>
        <v>2709250.96</v>
      </c>
      <c r="D496" s="186">
        <f>SUM(D5+D30+D34+D52+D89+D98+D121+D136+D156+D162+D173+D193+D207+D223+D227+D283+D289+D400+D419+D486+D489+D494)+D495</f>
        <v>288138</v>
      </c>
      <c r="E496" s="186">
        <f>SUM(E5+E30+E34+E52+E89+E98+E121+E136+E156+E162+E173+E193+E207+E223+E227+E283+E289+E400+E419+E486+E489+E494)+E495</f>
        <v>1226975.42</v>
      </c>
      <c r="F496" s="186">
        <f>SUM(F5+F30+F34+F52+F89+F98+F121+F136+F156+F162+F173+F193+F207+F223+F227+F283+F289+F400+F419+F486+F489+F494)+F495</f>
        <v>595656.14</v>
      </c>
      <c r="G496" s="186">
        <f>SUM(G5+G30+G34+G52+G89+G98+G121+G136+G156+G162+G173+G193+G207+G223+G227+G283+G289+G400+G419+G486+G489+G494)+G495</f>
        <v>8832.23</v>
      </c>
      <c r="H496" s="186">
        <f>SUM(H5+H30+H34+H52+H89+H98+H121+H136+H156+H162+H173+H193+H207+H223+H227+H283+H289+H400+H419+H486+H489+H494)+H495</f>
        <v>589649.16999999993</v>
      </c>
      <c r="I496" s="404">
        <f t="shared" si="293"/>
        <v>1641278.3536599998</v>
      </c>
      <c r="J496" s="186">
        <f>SUM(J5+J30+J34+J52+J89+J98+J121+J136+J156+J162+J173+J193+J207+J223+J227+J283+J289+J400+J419+J486+J489+J494)+J495</f>
        <v>137748.34542</v>
      </c>
      <c r="K496" s="186">
        <f>SUM(K5+K30+K34+K52+K89+K98+K121+K136+K156+K162+K173+K193+K207+K223+K227+K283+K289+K400+K419+K486+K489+K494)+K495</f>
        <v>830108.78631999996</v>
      </c>
      <c r="L496" s="186">
        <f>SUM(L5+L30+L34+L52+L89+L98+L121+L136+L156+L162+L173+L193+L207+L223+L227+L283+L289+L400+L419+L486+L489+L494)+L495</f>
        <v>595586.98961999989</v>
      </c>
      <c r="M496" s="186">
        <f>SUM(M5+M30+M34+M52+M89+M98+M121+M136+M156+M162+M173+M193+M207+M223+M227+M283+M289+M400+M419+M486+M489+M494)+M495</f>
        <v>3255</v>
      </c>
      <c r="N496" s="186">
        <f>SUM(N5+N30+N34+N52+N89+N98+N121+N136+N156+N162+N173+N193+N207+N223+N227+N283+N289+N400+N419+N486+N489+N494)+N495</f>
        <v>74579.232299999989</v>
      </c>
      <c r="O496" s="186" t="e">
        <f>SUM(O5+O30+O34+O52+O89+O98+O121+O136+O156+O162+O173+O193+O207+O223+O227+O283+O289+O400+O419+O486+O489+O494)+O495</f>
        <v>#REF!</v>
      </c>
      <c r="P496" s="404">
        <f t="shared" si="294"/>
        <v>1622244.0159799999</v>
      </c>
      <c r="Q496" s="186">
        <f>SUM(Q5+Q30+Q34+Q52+Q89+Q98+Q121+Q136+Q156+Q162+Q173+Q193+Q207+Q223+Q227+Q283+Q289+Q400+Q419+Q486+Q489+Q494)+Q495</f>
        <v>137546.18942000001</v>
      </c>
      <c r="R496" s="186">
        <f>SUM(R5+R30+R34+R52+R89+R98+R121+R136+R156+R162+R173+R193+R207+R223+R227+R283+R289+R400+R419+R486+R489+R494)+R495</f>
        <v>814164.3041500001</v>
      </c>
      <c r="S496" s="186">
        <f>SUM(S5+S30+S34+S52+S89+S98+S121+S136+S156+S162+S173+S193+S207+S223+S227+S283+S289+S400+S419+S486+S489+S494)+S495</f>
        <v>589283.01437999995</v>
      </c>
      <c r="T496" s="186">
        <f>SUM(T5+T30+T34+T52+T89+T98+T121+T136+T156+T162+T173+T193+T207+T223+T227+T283+T289+T400+T419+T486+T489+T494)+T495</f>
        <v>3255</v>
      </c>
      <c r="U496" s="186">
        <f>SUM(U5+U30+U34+U52+U89+U98+U121+U136+U156+U162+U173+U193+U207+U223+U227+U283+U289+U400+U419+U486+U489+U494)+U495</f>
        <v>77995.508029999997</v>
      </c>
      <c r="V496" s="174"/>
    </row>
    <row r="497" spans="1:19" x14ac:dyDescent="0.25">
      <c r="L497" s="324"/>
    </row>
    <row r="498" spans="1:19" x14ac:dyDescent="0.25">
      <c r="F498" s="174"/>
      <c r="I498" s="425"/>
      <c r="K498" s="174"/>
      <c r="L498" s="174">
        <f>SUM(L496:M496)</f>
        <v>598841.98961999989</v>
      </c>
      <c r="M498" s="174"/>
      <c r="S498" s="174">
        <f>SUM(S496:T496)</f>
        <v>592538.01437999995</v>
      </c>
    </row>
    <row r="499" spans="1:19" x14ac:dyDescent="0.25">
      <c r="K499" s="324"/>
      <c r="L499" s="174"/>
      <c r="M499" s="324"/>
    </row>
    <row r="500" spans="1:19" x14ac:dyDescent="0.25">
      <c r="A500" s="158"/>
      <c r="B500" s="158"/>
      <c r="C500" s="158"/>
      <c r="F500" s="174"/>
      <c r="I500" s="158"/>
      <c r="K500" s="324"/>
      <c r="L500" s="174"/>
      <c r="P500" s="158"/>
      <c r="S500" s="174"/>
    </row>
  </sheetData>
  <mergeCells count="9">
    <mergeCell ref="O3:O4"/>
    <mergeCell ref="P3:U3"/>
    <mergeCell ref="B1:U1"/>
    <mergeCell ref="A209:A210"/>
    <mergeCell ref="A212:A213"/>
    <mergeCell ref="A3:A4"/>
    <mergeCell ref="B3:B4"/>
    <mergeCell ref="C3:H3"/>
    <mergeCell ref="I3:N3"/>
  </mergeCells>
  <conditionalFormatting sqref="B369 B355:B367 H294 E359 E298 B290:B353 H329 G373 B371:B398 E329:E331 D331">
    <cfRule type="cellIs" dxfId="3" priority="2" stopIfTrue="1" operator="equal">
      <formula>0</formula>
    </cfRule>
  </conditionalFormatting>
  <conditionalFormatting sqref="B290:B296 B298:B299 B301:B307 B309:B312 B314:B315 B317:B318 B320:B326 B328:B335 B337:B340 B342:B347 B349:B353 B355:B377 H294 H298 H329 E298 E359 F373:G373 E351:E352 E329:E331 D331">
    <cfRule type="cellIs" dxfId="2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425"/>
  <sheetViews>
    <sheetView topLeftCell="A242" workbookViewId="0">
      <selection activeCell="A396" sqref="A396"/>
    </sheetView>
  </sheetViews>
  <sheetFormatPr defaultRowHeight="15.75" x14ac:dyDescent="0.25"/>
  <cols>
    <col min="1" max="1" width="47.09765625" style="509" customWidth="1"/>
    <col min="2" max="2" width="8.796875" style="509" customWidth="1"/>
    <col min="3" max="5" width="8.796875" style="509"/>
    <col min="6" max="6" width="9.19921875" style="509" customWidth="1"/>
    <col min="7" max="9" width="8.796875" style="509" hidden="1" customWidth="1"/>
    <col min="10" max="11" width="8.796875" style="509" customWidth="1"/>
    <col min="12" max="12" width="4.296875" style="509" customWidth="1"/>
    <col min="13" max="16384" width="8.796875" style="509"/>
  </cols>
  <sheetData>
    <row r="1" spans="1:249" ht="33" customHeight="1" x14ac:dyDescent="0.25">
      <c r="A1" s="898" t="s">
        <v>1127</v>
      </c>
      <c r="B1" s="898"/>
      <c r="C1" s="898"/>
      <c r="D1" s="898"/>
      <c r="E1" s="898"/>
      <c r="F1" s="898"/>
    </row>
    <row r="2" spans="1:249" x14ac:dyDescent="0.25">
      <c r="A2" s="510"/>
      <c r="B2" s="510"/>
      <c r="C2" s="510"/>
    </row>
    <row r="3" spans="1:249" x14ac:dyDescent="0.25">
      <c r="A3" s="899" t="s">
        <v>382</v>
      </c>
      <c r="B3" s="899" t="s">
        <v>383</v>
      </c>
      <c r="C3" s="900" t="s">
        <v>384</v>
      </c>
      <c r="D3" s="900" t="s">
        <v>385</v>
      </c>
      <c r="E3" s="900" t="s">
        <v>386</v>
      </c>
      <c r="F3" s="904" t="s">
        <v>387</v>
      </c>
      <c r="G3" s="511"/>
      <c r="H3" s="511"/>
      <c r="I3" s="511"/>
      <c r="J3" s="511"/>
      <c r="K3" s="511"/>
      <c r="L3" s="511"/>
      <c r="M3" s="511"/>
      <c r="N3" s="511"/>
      <c r="O3" s="511"/>
      <c r="P3" s="511"/>
      <c r="Q3" s="511"/>
      <c r="R3" s="511"/>
      <c r="S3" s="511"/>
      <c r="T3" s="511"/>
      <c r="U3" s="511"/>
      <c r="V3" s="511"/>
      <c r="W3" s="511"/>
      <c r="X3" s="511"/>
      <c r="Y3" s="511"/>
      <c r="Z3" s="511"/>
      <c r="AA3" s="511"/>
      <c r="AB3" s="511"/>
      <c r="AC3" s="511"/>
      <c r="AD3" s="511"/>
      <c r="AE3" s="511"/>
      <c r="AF3" s="511"/>
      <c r="AG3" s="511"/>
      <c r="AH3" s="511"/>
      <c r="AI3" s="511"/>
      <c r="AJ3" s="511"/>
      <c r="AK3" s="511"/>
      <c r="AL3" s="511"/>
      <c r="AM3" s="511"/>
      <c r="AN3" s="511"/>
      <c r="AO3" s="511"/>
      <c r="AP3" s="511"/>
      <c r="AQ3" s="511"/>
      <c r="AR3" s="511"/>
      <c r="AS3" s="511"/>
      <c r="AT3" s="511"/>
      <c r="AU3" s="511"/>
      <c r="AV3" s="511"/>
      <c r="AW3" s="511"/>
      <c r="AX3" s="511"/>
      <c r="AY3" s="511"/>
      <c r="AZ3" s="511"/>
      <c r="BA3" s="511"/>
      <c r="BB3" s="511"/>
      <c r="BC3" s="511"/>
      <c r="BD3" s="511"/>
      <c r="BE3" s="511"/>
      <c r="BF3" s="511"/>
      <c r="BG3" s="511"/>
      <c r="BH3" s="511"/>
      <c r="BI3" s="511"/>
      <c r="BJ3" s="511"/>
      <c r="BK3" s="511"/>
      <c r="BL3" s="511"/>
      <c r="BM3" s="511"/>
      <c r="BN3" s="511"/>
      <c r="BO3" s="511"/>
      <c r="BP3" s="511"/>
      <c r="BQ3" s="511"/>
      <c r="BR3" s="511"/>
      <c r="BS3" s="511"/>
      <c r="BT3" s="511"/>
      <c r="BU3" s="511"/>
      <c r="BV3" s="511"/>
      <c r="BW3" s="511"/>
      <c r="BX3" s="511"/>
      <c r="BY3" s="511"/>
      <c r="BZ3" s="511"/>
      <c r="CA3" s="511"/>
      <c r="CB3" s="511"/>
      <c r="CC3" s="511"/>
      <c r="CD3" s="511"/>
      <c r="CE3" s="511"/>
      <c r="CF3" s="511"/>
      <c r="CG3" s="511"/>
      <c r="CH3" s="511"/>
      <c r="CI3" s="511"/>
      <c r="CJ3" s="511"/>
      <c r="CK3" s="511"/>
      <c r="CL3" s="511"/>
      <c r="CM3" s="511"/>
      <c r="CN3" s="511"/>
      <c r="CO3" s="511"/>
      <c r="CP3" s="511"/>
      <c r="CQ3" s="511"/>
      <c r="CR3" s="511"/>
      <c r="CS3" s="511"/>
      <c r="CT3" s="511"/>
      <c r="CU3" s="511"/>
      <c r="CV3" s="511"/>
      <c r="CW3" s="511"/>
      <c r="CX3" s="511"/>
      <c r="CY3" s="511"/>
      <c r="CZ3" s="511"/>
      <c r="DA3" s="511"/>
      <c r="DB3" s="511"/>
      <c r="DC3" s="511"/>
      <c r="DD3" s="511"/>
      <c r="DE3" s="511"/>
      <c r="DF3" s="511"/>
      <c r="DG3" s="511"/>
      <c r="DH3" s="511"/>
      <c r="DI3" s="511"/>
      <c r="DJ3" s="511"/>
      <c r="DK3" s="511"/>
      <c r="DL3" s="511"/>
      <c r="DM3" s="511"/>
      <c r="DN3" s="511"/>
      <c r="DO3" s="511"/>
      <c r="DP3" s="511"/>
      <c r="DQ3" s="511"/>
      <c r="DR3" s="511"/>
      <c r="DS3" s="511"/>
      <c r="DT3" s="511"/>
      <c r="DU3" s="511"/>
      <c r="DV3" s="511"/>
      <c r="DW3" s="511"/>
      <c r="DX3" s="511"/>
      <c r="DY3" s="511"/>
      <c r="DZ3" s="511"/>
      <c r="EA3" s="511"/>
      <c r="EB3" s="511"/>
      <c r="EC3" s="511"/>
      <c r="ED3" s="511"/>
      <c r="EE3" s="511"/>
      <c r="EF3" s="511"/>
      <c r="EG3" s="511"/>
      <c r="EH3" s="511"/>
      <c r="EI3" s="511"/>
      <c r="EJ3" s="511"/>
      <c r="EK3" s="511"/>
      <c r="EL3" s="511"/>
      <c r="EM3" s="511"/>
      <c r="EN3" s="511"/>
      <c r="EO3" s="511"/>
      <c r="EP3" s="511"/>
      <c r="EQ3" s="511"/>
      <c r="ER3" s="511"/>
      <c r="ES3" s="511"/>
      <c r="ET3" s="511"/>
      <c r="EU3" s="511"/>
      <c r="EV3" s="511"/>
      <c r="EW3" s="511"/>
      <c r="EX3" s="511"/>
      <c r="EY3" s="511"/>
      <c r="EZ3" s="511"/>
      <c r="FA3" s="511"/>
      <c r="FB3" s="511"/>
      <c r="FC3" s="511"/>
      <c r="FD3" s="511"/>
      <c r="FE3" s="511"/>
      <c r="FF3" s="511"/>
      <c r="FG3" s="511"/>
      <c r="FH3" s="511"/>
      <c r="FI3" s="511"/>
      <c r="FJ3" s="511"/>
      <c r="FK3" s="511"/>
      <c r="FL3" s="511"/>
      <c r="FM3" s="511"/>
      <c r="FN3" s="511"/>
      <c r="FO3" s="511"/>
      <c r="FP3" s="511"/>
      <c r="FQ3" s="511"/>
      <c r="FR3" s="511"/>
      <c r="FS3" s="511"/>
      <c r="FT3" s="511"/>
      <c r="FU3" s="511"/>
      <c r="FV3" s="511"/>
      <c r="FW3" s="511"/>
      <c r="FX3" s="511"/>
      <c r="FY3" s="511"/>
      <c r="FZ3" s="511"/>
      <c r="GA3" s="511"/>
      <c r="GB3" s="511"/>
      <c r="GC3" s="511"/>
      <c r="GD3" s="511"/>
      <c r="GE3" s="511"/>
      <c r="GF3" s="511"/>
      <c r="GG3" s="511"/>
      <c r="GH3" s="511"/>
      <c r="GI3" s="511"/>
      <c r="GJ3" s="511"/>
      <c r="GK3" s="511"/>
      <c r="GL3" s="511"/>
      <c r="GM3" s="511"/>
      <c r="GN3" s="511"/>
      <c r="GO3" s="511"/>
      <c r="GP3" s="511"/>
      <c r="GQ3" s="511"/>
      <c r="GR3" s="511"/>
      <c r="GS3" s="511"/>
      <c r="GT3" s="511"/>
      <c r="GU3" s="511"/>
      <c r="GV3" s="511"/>
      <c r="GW3" s="511"/>
      <c r="GX3" s="511"/>
      <c r="GY3" s="511"/>
      <c r="GZ3" s="511"/>
      <c r="HA3" s="511"/>
      <c r="HB3" s="511"/>
      <c r="HC3" s="511"/>
      <c r="HD3" s="511"/>
      <c r="HE3" s="511"/>
      <c r="HF3" s="511"/>
      <c r="HG3" s="511"/>
      <c r="HH3" s="511"/>
      <c r="HI3" s="511"/>
      <c r="HJ3" s="511"/>
      <c r="HK3" s="511"/>
      <c r="HL3" s="511"/>
      <c r="HM3" s="511"/>
      <c r="HN3" s="511"/>
      <c r="HO3" s="511"/>
      <c r="HP3" s="511"/>
      <c r="HQ3" s="511"/>
      <c r="HR3" s="511"/>
      <c r="HS3" s="511"/>
      <c r="HT3" s="511"/>
      <c r="HU3" s="511"/>
      <c r="HV3" s="511"/>
      <c r="HW3" s="511"/>
      <c r="HX3" s="511"/>
      <c r="HY3" s="511"/>
      <c r="HZ3" s="511"/>
      <c r="IA3" s="511"/>
      <c r="IB3" s="511"/>
      <c r="IC3" s="511"/>
      <c r="ID3" s="511"/>
      <c r="IE3" s="511"/>
      <c r="IF3" s="511"/>
      <c r="IG3" s="511"/>
      <c r="IH3" s="511"/>
      <c r="II3" s="511"/>
      <c r="IJ3" s="511"/>
      <c r="IK3" s="511"/>
      <c r="IL3" s="511"/>
      <c r="IM3" s="511"/>
      <c r="IN3" s="511"/>
      <c r="IO3" s="511"/>
    </row>
    <row r="4" spans="1:249" x14ac:dyDescent="0.25">
      <c r="A4" s="899"/>
      <c r="B4" s="899"/>
      <c r="C4" s="901"/>
      <c r="D4" s="902"/>
      <c r="E4" s="903"/>
      <c r="F4" s="905"/>
      <c r="G4" s="511"/>
      <c r="H4" s="511"/>
      <c r="I4" s="511"/>
      <c r="J4" s="511"/>
      <c r="K4" s="511"/>
      <c r="L4" s="511"/>
      <c r="M4" s="511"/>
      <c r="N4" s="511"/>
      <c r="O4" s="511"/>
      <c r="P4" s="511"/>
      <c r="Q4" s="511"/>
      <c r="R4" s="511"/>
      <c r="S4" s="511"/>
      <c r="T4" s="511"/>
      <c r="U4" s="511"/>
      <c r="V4" s="511"/>
      <c r="W4" s="511"/>
      <c r="X4" s="511"/>
      <c r="Y4" s="511"/>
      <c r="Z4" s="511"/>
      <c r="AA4" s="511"/>
      <c r="AB4" s="511"/>
      <c r="AC4" s="511"/>
      <c r="AD4" s="511"/>
      <c r="AE4" s="511"/>
      <c r="AF4" s="511"/>
      <c r="AG4" s="511"/>
      <c r="AH4" s="511"/>
      <c r="AI4" s="511"/>
      <c r="AJ4" s="511"/>
      <c r="AK4" s="511"/>
      <c r="AL4" s="511"/>
      <c r="AM4" s="511"/>
      <c r="AN4" s="511"/>
      <c r="AO4" s="511"/>
      <c r="AP4" s="511"/>
      <c r="AQ4" s="511"/>
      <c r="AR4" s="511"/>
      <c r="AS4" s="511"/>
      <c r="AT4" s="511"/>
      <c r="AU4" s="511"/>
      <c r="AV4" s="511"/>
      <c r="AW4" s="511"/>
      <c r="AX4" s="511"/>
      <c r="AY4" s="511"/>
      <c r="AZ4" s="511"/>
      <c r="BA4" s="511"/>
      <c r="BB4" s="511"/>
      <c r="BC4" s="511"/>
      <c r="BD4" s="511"/>
      <c r="BE4" s="511"/>
      <c r="BF4" s="511"/>
      <c r="BG4" s="511"/>
      <c r="BH4" s="511"/>
      <c r="BI4" s="511"/>
      <c r="BJ4" s="511"/>
      <c r="BK4" s="511"/>
      <c r="BL4" s="511"/>
      <c r="BM4" s="511"/>
      <c r="BN4" s="511"/>
      <c r="BO4" s="511"/>
      <c r="BP4" s="511"/>
      <c r="BQ4" s="511"/>
      <c r="BR4" s="511"/>
      <c r="BS4" s="511"/>
      <c r="BT4" s="511"/>
      <c r="BU4" s="511"/>
      <c r="BV4" s="511"/>
      <c r="BW4" s="511"/>
      <c r="BX4" s="511"/>
      <c r="BY4" s="511"/>
      <c r="BZ4" s="511"/>
      <c r="CA4" s="511"/>
      <c r="CB4" s="511"/>
      <c r="CC4" s="511"/>
      <c r="CD4" s="511"/>
      <c r="CE4" s="511"/>
      <c r="CF4" s="511"/>
      <c r="CG4" s="511"/>
      <c r="CH4" s="511"/>
      <c r="CI4" s="511"/>
      <c r="CJ4" s="511"/>
      <c r="CK4" s="511"/>
      <c r="CL4" s="511"/>
      <c r="CM4" s="511"/>
      <c r="CN4" s="511"/>
      <c r="CO4" s="511"/>
      <c r="CP4" s="511"/>
      <c r="CQ4" s="511"/>
      <c r="CR4" s="511"/>
      <c r="CS4" s="511"/>
      <c r="CT4" s="511"/>
      <c r="CU4" s="511"/>
      <c r="CV4" s="511"/>
      <c r="CW4" s="511"/>
      <c r="CX4" s="511"/>
      <c r="CY4" s="511"/>
      <c r="CZ4" s="511"/>
      <c r="DA4" s="511"/>
      <c r="DB4" s="511"/>
      <c r="DC4" s="511"/>
      <c r="DD4" s="511"/>
      <c r="DE4" s="511"/>
      <c r="DF4" s="511"/>
      <c r="DG4" s="511"/>
      <c r="DH4" s="511"/>
      <c r="DI4" s="511"/>
      <c r="DJ4" s="511"/>
      <c r="DK4" s="511"/>
      <c r="DL4" s="511"/>
      <c r="DM4" s="511"/>
      <c r="DN4" s="511"/>
      <c r="DO4" s="511"/>
      <c r="DP4" s="511"/>
      <c r="DQ4" s="511"/>
      <c r="DR4" s="511"/>
      <c r="DS4" s="511"/>
      <c r="DT4" s="511"/>
      <c r="DU4" s="511"/>
      <c r="DV4" s="511"/>
      <c r="DW4" s="511"/>
      <c r="DX4" s="511"/>
      <c r="DY4" s="511"/>
      <c r="DZ4" s="511"/>
      <c r="EA4" s="511"/>
      <c r="EB4" s="511"/>
      <c r="EC4" s="511"/>
      <c r="ED4" s="511"/>
      <c r="EE4" s="511"/>
      <c r="EF4" s="511"/>
      <c r="EG4" s="511"/>
      <c r="EH4" s="511"/>
      <c r="EI4" s="511"/>
      <c r="EJ4" s="511"/>
      <c r="EK4" s="511"/>
      <c r="EL4" s="511"/>
      <c r="EM4" s="511"/>
      <c r="EN4" s="511"/>
      <c r="EO4" s="511"/>
      <c r="EP4" s="511"/>
      <c r="EQ4" s="511"/>
      <c r="ER4" s="511"/>
      <c r="ES4" s="511"/>
      <c r="ET4" s="511"/>
      <c r="EU4" s="511"/>
      <c r="EV4" s="511"/>
      <c r="EW4" s="511"/>
      <c r="EX4" s="511"/>
      <c r="EY4" s="511"/>
      <c r="EZ4" s="511"/>
      <c r="FA4" s="511"/>
      <c r="FB4" s="511"/>
      <c r="FC4" s="511"/>
      <c r="FD4" s="511"/>
      <c r="FE4" s="511"/>
      <c r="FF4" s="511"/>
      <c r="FG4" s="511"/>
      <c r="FH4" s="511"/>
      <c r="FI4" s="511"/>
      <c r="FJ4" s="511"/>
      <c r="FK4" s="511"/>
      <c r="FL4" s="511"/>
      <c r="FM4" s="511"/>
      <c r="FN4" s="511"/>
      <c r="FO4" s="511"/>
      <c r="FP4" s="511"/>
      <c r="FQ4" s="511"/>
      <c r="FR4" s="511"/>
      <c r="FS4" s="511"/>
      <c r="FT4" s="511"/>
      <c r="FU4" s="511"/>
      <c r="FV4" s="511"/>
      <c r="FW4" s="511"/>
      <c r="FX4" s="511"/>
      <c r="FY4" s="511"/>
      <c r="FZ4" s="511"/>
      <c r="GA4" s="511"/>
      <c r="GB4" s="511"/>
      <c r="GC4" s="511"/>
      <c r="GD4" s="511"/>
      <c r="GE4" s="511"/>
      <c r="GF4" s="511"/>
      <c r="GG4" s="511"/>
      <c r="GH4" s="511"/>
      <c r="GI4" s="511"/>
      <c r="GJ4" s="511"/>
      <c r="GK4" s="511"/>
      <c r="GL4" s="511"/>
      <c r="GM4" s="511"/>
      <c r="GN4" s="511"/>
      <c r="GO4" s="511"/>
      <c r="GP4" s="511"/>
      <c r="GQ4" s="511"/>
      <c r="GR4" s="511"/>
      <c r="GS4" s="511"/>
      <c r="GT4" s="511"/>
      <c r="GU4" s="511"/>
      <c r="GV4" s="511"/>
      <c r="GW4" s="511"/>
      <c r="GX4" s="511"/>
      <c r="GY4" s="511"/>
      <c r="GZ4" s="511"/>
      <c r="HA4" s="511"/>
      <c r="HB4" s="511"/>
      <c r="HC4" s="511"/>
      <c r="HD4" s="511"/>
      <c r="HE4" s="511"/>
      <c r="HF4" s="511"/>
      <c r="HG4" s="511"/>
      <c r="HH4" s="511"/>
      <c r="HI4" s="511"/>
      <c r="HJ4" s="511"/>
      <c r="HK4" s="511"/>
      <c r="HL4" s="511"/>
      <c r="HM4" s="511"/>
      <c r="HN4" s="511"/>
      <c r="HO4" s="511"/>
      <c r="HP4" s="511"/>
      <c r="HQ4" s="511"/>
      <c r="HR4" s="511"/>
      <c r="HS4" s="511"/>
      <c r="HT4" s="511"/>
      <c r="HU4" s="511"/>
      <c r="HV4" s="511"/>
      <c r="HW4" s="511"/>
      <c r="HX4" s="511"/>
      <c r="HY4" s="511"/>
      <c r="HZ4" s="511"/>
      <c r="IA4" s="511"/>
      <c r="IB4" s="511"/>
      <c r="IC4" s="511"/>
      <c r="ID4" s="511"/>
      <c r="IE4" s="511"/>
      <c r="IF4" s="511"/>
      <c r="IG4" s="511"/>
      <c r="IH4" s="511"/>
      <c r="II4" s="511"/>
      <c r="IJ4" s="511"/>
      <c r="IK4" s="511"/>
      <c r="IL4" s="511"/>
      <c r="IM4" s="511"/>
      <c r="IN4" s="511"/>
      <c r="IO4" s="511"/>
    </row>
    <row r="5" spans="1:249" x14ac:dyDescent="0.25">
      <c r="A5" s="899"/>
      <c r="B5" s="899"/>
      <c r="C5" s="907" t="s">
        <v>1072</v>
      </c>
      <c r="D5" s="908"/>
      <c r="E5" s="901"/>
      <c r="F5" s="906"/>
      <c r="G5" s="511"/>
      <c r="H5" s="511"/>
      <c r="I5" s="511"/>
      <c r="J5" s="511"/>
      <c r="K5" s="511"/>
      <c r="L5" s="511"/>
      <c r="M5" s="511"/>
      <c r="N5" s="511"/>
      <c r="O5" s="511"/>
      <c r="P5" s="511"/>
      <c r="Q5" s="511"/>
      <c r="R5" s="511"/>
      <c r="S5" s="511"/>
      <c r="T5" s="511"/>
      <c r="U5" s="511"/>
      <c r="V5" s="511"/>
      <c r="W5" s="511"/>
      <c r="X5" s="511"/>
      <c r="Y5" s="511"/>
      <c r="Z5" s="511"/>
      <c r="AA5" s="511"/>
      <c r="AB5" s="511"/>
      <c r="AC5" s="511"/>
      <c r="AD5" s="511"/>
      <c r="AE5" s="511"/>
      <c r="AF5" s="511"/>
      <c r="AG5" s="511"/>
      <c r="AH5" s="511"/>
      <c r="AI5" s="511"/>
      <c r="AJ5" s="511"/>
      <c r="AK5" s="511"/>
      <c r="AL5" s="511"/>
      <c r="AM5" s="511"/>
      <c r="AN5" s="511"/>
      <c r="AO5" s="511"/>
      <c r="AP5" s="511"/>
      <c r="AQ5" s="511"/>
      <c r="AR5" s="511"/>
      <c r="AS5" s="511"/>
      <c r="AT5" s="511"/>
      <c r="AU5" s="511"/>
      <c r="AV5" s="511"/>
      <c r="AW5" s="511"/>
      <c r="AX5" s="511"/>
      <c r="AY5" s="511"/>
      <c r="AZ5" s="511"/>
      <c r="BA5" s="511"/>
      <c r="BB5" s="511"/>
      <c r="BC5" s="511"/>
      <c r="BD5" s="511"/>
      <c r="BE5" s="511"/>
      <c r="BF5" s="511"/>
      <c r="BG5" s="511"/>
      <c r="BH5" s="511"/>
      <c r="BI5" s="511"/>
      <c r="BJ5" s="511"/>
      <c r="BK5" s="511"/>
      <c r="BL5" s="511"/>
      <c r="BM5" s="511"/>
      <c r="BN5" s="511"/>
      <c r="BO5" s="511"/>
      <c r="BP5" s="511"/>
      <c r="BQ5" s="511"/>
      <c r="BR5" s="511"/>
      <c r="BS5" s="511"/>
      <c r="BT5" s="511"/>
      <c r="BU5" s="511"/>
      <c r="BV5" s="511"/>
      <c r="BW5" s="511"/>
      <c r="BX5" s="511"/>
      <c r="BY5" s="511"/>
      <c r="BZ5" s="511"/>
      <c r="CA5" s="511"/>
      <c r="CB5" s="511"/>
      <c r="CC5" s="511"/>
      <c r="CD5" s="511"/>
      <c r="CE5" s="511"/>
      <c r="CF5" s="511"/>
      <c r="CG5" s="511"/>
      <c r="CH5" s="511"/>
      <c r="CI5" s="511"/>
      <c r="CJ5" s="511"/>
      <c r="CK5" s="511"/>
      <c r="CL5" s="511"/>
      <c r="CM5" s="511"/>
      <c r="CN5" s="511"/>
      <c r="CO5" s="511"/>
      <c r="CP5" s="511"/>
      <c r="CQ5" s="511"/>
      <c r="CR5" s="511"/>
      <c r="CS5" s="511"/>
      <c r="CT5" s="511"/>
      <c r="CU5" s="511"/>
      <c r="CV5" s="511"/>
      <c r="CW5" s="511"/>
      <c r="CX5" s="511"/>
      <c r="CY5" s="511"/>
      <c r="CZ5" s="511"/>
      <c r="DA5" s="511"/>
      <c r="DB5" s="511"/>
      <c r="DC5" s="511"/>
      <c r="DD5" s="511"/>
      <c r="DE5" s="511"/>
      <c r="DF5" s="511"/>
      <c r="DG5" s="511"/>
      <c r="DH5" s="511"/>
      <c r="DI5" s="511"/>
      <c r="DJ5" s="511"/>
      <c r="DK5" s="511"/>
      <c r="DL5" s="511"/>
      <c r="DM5" s="511"/>
      <c r="DN5" s="511"/>
      <c r="DO5" s="511"/>
      <c r="DP5" s="511"/>
      <c r="DQ5" s="511"/>
      <c r="DR5" s="511"/>
      <c r="DS5" s="511"/>
      <c r="DT5" s="511"/>
      <c r="DU5" s="511"/>
      <c r="DV5" s="511"/>
      <c r="DW5" s="511"/>
      <c r="DX5" s="511"/>
      <c r="DY5" s="511"/>
      <c r="DZ5" s="511"/>
      <c r="EA5" s="511"/>
      <c r="EB5" s="511"/>
      <c r="EC5" s="511"/>
      <c r="ED5" s="511"/>
      <c r="EE5" s="511"/>
      <c r="EF5" s="511"/>
      <c r="EG5" s="511"/>
      <c r="EH5" s="511"/>
      <c r="EI5" s="511"/>
      <c r="EJ5" s="511"/>
      <c r="EK5" s="511"/>
      <c r="EL5" s="511"/>
      <c r="EM5" s="511"/>
      <c r="EN5" s="511"/>
      <c r="EO5" s="511"/>
      <c r="EP5" s="511"/>
      <c r="EQ5" s="511"/>
      <c r="ER5" s="511"/>
      <c r="ES5" s="511"/>
      <c r="ET5" s="511"/>
      <c r="EU5" s="511"/>
      <c r="EV5" s="511"/>
      <c r="EW5" s="511"/>
      <c r="EX5" s="511"/>
      <c r="EY5" s="511"/>
      <c r="EZ5" s="511"/>
      <c r="FA5" s="511"/>
      <c r="FB5" s="511"/>
      <c r="FC5" s="511"/>
      <c r="FD5" s="511"/>
      <c r="FE5" s="511"/>
      <c r="FF5" s="511"/>
      <c r="FG5" s="511"/>
      <c r="FH5" s="511"/>
      <c r="FI5" s="511"/>
      <c r="FJ5" s="511"/>
      <c r="FK5" s="511"/>
      <c r="FL5" s="511"/>
      <c r="FM5" s="511"/>
      <c r="FN5" s="511"/>
      <c r="FO5" s="511"/>
      <c r="FP5" s="511"/>
      <c r="FQ5" s="511"/>
      <c r="FR5" s="511"/>
      <c r="FS5" s="511"/>
      <c r="FT5" s="511"/>
      <c r="FU5" s="511"/>
      <c r="FV5" s="511"/>
      <c r="FW5" s="511"/>
      <c r="FX5" s="511"/>
      <c r="FY5" s="511"/>
      <c r="FZ5" s="511"/>
      <c r="GA5" s="511"/>
      <c r="GB5" s="511"/>
      <c r="GC5" s="511"/>
      <c r="GD5" s="511"/>
      <c r="GE5" s="511"/>
      <c r="GF5" s="511"/>
      <c r="GG5" s="511"/>
      <c r="GH5" s="511"/>
      <c r="GI5" s="511"/>
      <c r="GJ5" s="511"/>
      <c r="GK5" s="511"/>
      <c r="GL5" s="511"/>
      <c r="GM5" s="511"/>
      <c r="GN5" s="511"/>
      <c r="GO5" s="511"/>
      <c r="GP5" s="511"/>
      <c r="GQ5" s="511"/>
      <c r="GR5" s="511"/>
      <c r="GS5" s="511"/>
      <c r="GT5" s="511"/>
      <c r="GU5" s="511"/>
      <c r="GV5" s="511"/>
      <c r="GW5" s="511"/>
      <c r="GX5" s="511"/>
      <c r="GY5" s="511"/>
      <c r="GZ5" s="511"/>
      <c r="HA5" s="511"/>
      <c r="HB5" s="511"/>
      <c r="HC5" s="511"/>
      <c r="HD5" s="511"/>
      <c r="HE5" s="511"/>
      <c r="HF5" s="511"/>
      <c r="HG5" s="511"/>
      <c r="HH5" s="511"/>
      <c r="HI5" s="511"/>
      <c r="HJ5" s="511"/>
      <c r="HK5" s="511"/>
      <c r="HL5" s="511"/>
      <c r="HM5" s="511"/>
      <c r="HN5" s="511"/>
      <c r="HO5" s="511"/>
      <c r="HP5" s="511"/>
      <c r="HQ5" s="511"/>
      <c r="HR5" s="511"/>
      <c r="HS5" s="511"/>
      <c r="HT5" s="511"/>
      <c r="HU5" s="511"/>
      <c r="HV5" s="511"/>
      <c r="HW5" s="511"/>
      <c r="HX5" s="511"/>
      <c r="HY5" s="511"/>
      <c r="HZ5" s="511"/>
      <c r="IA5" s="511"/>
      <c r="IB5" s="511"/>
      <c r="IC5" s="511"/>
      <c r="ID5" s="511"/>
      <c r="IE5" s="511"/>
      <c r="IF5" s="511"/>
      <c r="IG5" s="511"/>
      <c r="IH5" s="511"/>
      <c r="II5" s="511"/>
      <c r="IJ5" s="511"/>
      <c r="IK5" s="511"/>
      <c r="IL5" s="511"/>
      <c r="IM5" s="511"/>
      <c r="IN5" s="511"/>
      <c r="IO5" s="511"/>
    </row>
    <row r="6" spans="1:249" x14ac:dyDescent="0.25">
      <c r="A6" s="512">
        <v>1</v>
      </c>
      <c r="B6" s="512">
        <v>2</v>
      </c>
      <c r="C6" s="513">
        <v>3</v>
      </c>
      <c r="D6" s="512">
        <v>4</v>
      </c>
      <c r="E6" s="512">
        <v>5</v>
      </c>
      <c r="F6" s="512">
        <v>6</v>
      </c>
      <c r="G6" s="511"/>
      <c r="H6" s="511"/>
      <c r="I6" s="511"/>
      <c r="J6" s="511"/>
      <c r="K6" s="511"/>
      <c r="L6" s="511"/>
      <c r="M6" s="511"/>
      <c r="N6" s="511"/>
      <c r="O6" s="511"/>
      <c r="P6" s="511"/>
      <c r="Q6" s="511"/>
      <c r="R6" s="511"/>
      <c r="S6" s="511"/>
      <c r="T6" s="511"/>
      <c r="U6" s="511"/>
      <c r="V6" s="511"/>
      <c r="W6" s="511"/>
      <c r="X6" s="511"/>
      <c r="Y6" s="511"/>
      <c r="Z6" s="511"/>
      <c r="AA6" s="511"/>
      <c r="AB6" s="511"/>
      <c r="AC6" s="511"/>
      <c r="AD6" s="511"/>
      <c r="AE6" s="511"/>
      <c r="AF6" s="511"/>
      <c r="AG6" s="511"/>
      <c r="AH6" s="511"/>
      <c r="AI6" s="511"/>
      <c r="AJ6" s="511"/>
      <c r="AK6" s="511"/>
      <c r="AL6" s="511"/>
      <c r="AM6" s="511"/>
      <c r="AN6" s="511"/>
      <c r="AO6" s="511"/>
      <c r="AP6" s="511"/>
      <c r="AQ6" s="511"/>
      <c r="AR6" s="511"/>
      <c r="AS6" s="511"/>
      <c r="AT6" s="511"/>
      <c r="AU6" s="511"/>
      <c r="AV6" s="511"/>
      <c r="AW6" s="511"/>
      <c r="AX6" s="511"/>
      <c r="AY6" s="511"/>
      <c r="AZ6" s="511"/>
      <c r="BA6" s="511"/>
      <c r="BB6" s="511"/>
      <c r="BC6" s="511"/>
      <c r="BD6" s="511"/>
      <c r="BE6" s="511"/>
      <c r="BF6" s="511"/>
      <c r="BG6" s="511"/>
      <c r="BH6" s="511"/>
      <c r="BI6" s="511"/>
      <c r="BJ6" s="511"/>
      <c r="BK6" s="511"/>
      <c r="BL6" s="511"/>
      <c r="BM6" s="511"/>
      <c r="BN6" s="511"/>
      <c r="BO6" s="511"/>
      <c r="BP6" s="511"/>
      <c r="BQ6" s="511"/>
      <c r="BR6" s="511"/>
      <c r="BS6" s="511"/>
      <c r="BT6" s="511"/>
      <c r="BU6" s="511"/>
      <c r="BV6" s="511"/>
      <c r="BW6" s="511"/>
      <c r="BX6" s="511"/>
      <c r="BY6" s="511"/>
      <c r="BZ6" s="511"/>
      <c r="CA6" s="511"/>
      <c r="CB6" s="511"/>
      <c r="CC6" s="511"/>
      <c r="CD6" s="511"/>
      <c r="CE6" s="511"/>
      <c r="CF6" s="511"/>
      <c r="CG6" s="511"/>
      <c r="CH6" s="511"/>
      <c r="CI6" s="511"/>
      <c r="CJ6" s="511"/>
      <c r="CK6" s="511"/>
      <c r="CL6" s="511"/>
      <c r="CM6" s="511"/>
      <c r="CN6" s="511"/>
      <c r="CO6" s="511"/>
      <c r="CP6" s="511"/>
      <c r="CQ6" s="511"/>
      <c r="CR6" s="511"/>
      <c r="CS6" s="511"/>
      <c r="CT6" s="511"/>
      <c r="CU6" s="511"/>
      <c r="CV6" s="511"/>
      <c r="CW6" s="511"/>
      <c r="CX6" s="511"/>
      <c r="CY6" s="511"/>
      <c r="CZ6" s="511"/>
      <c r="DA6" s="511"/>
      <c r="DB6" s="511"/>
      <c r="DC6" s="511"/>
      <c r="DD6" s="511"/>
      <c r="DE6" s="511"/>
      <c r="DF6" s="511"/>
      <c r="DG6" s="511"/>
      <c r="DH6" s="511"/>
      <c r="DI6" s="511"/>
      <c r="DJ6" s="511"/>
      <c r="DK6" s="511"/>
      <c r="DL6" s="511"/>
      <c r="DM6" s="511"/>
      <c r="DN6" s="511"/>
      <c r="DO6" s="511"/>
      <c r="DP6" s="511"/>
      <c r="DQ6" s="511"/>
      <c r="DR6" s="511"/>
      <c r="DS6" s="511"/>
      <c r="DT6" s="511"/>
      <c r="DU6" s="511"/>
      <c r="DV6" s="511"/>
      <c r="DW6" s="511"/>
      <c r="DX6" s="511"/>
      <c r="DY6" s="511"/>
      <c r="DZ6" s="511"/>
      <c r="EA6" s="511"/>
      <c r="EB6" s="511"/>
      <c r="EC6" s="511"/>
      <c r="ED6" s="511"/>
      <c r="EE6" s="511"/>
      <c r="EF6" s="511"/>
      <c r="EG6" s="511"/>
      <c r="EH6" s="511"/>
      <c r="EI6" s="511"/>
      <c r="EJ6" s="511"/>
      <c r="EK6" s="511"/>
      <c r="EL6" s="511"/>
      <c r="EM6" s="511"/>
      <c r="EN6" s="511"/>
      <c r="EO6" s="511"/>
      <c r="EP6" s="511"/>
      <c r="EQ6" s="511"/>
      <c r="ER6" s="511"/>
      <c r="ES6" s="511"/>
      <c r="ET6" s="511"/>
      <c r="EU6" s="511"/>
      <c r="EV6" s="511"/>
      <c r="EW6" s="511"/>
      <c r="EX6" s="511"/>
      <c r="EY6" s="511"/>
      <c r="EZ6" s="511"/>
      <c r="FA6" s="511"/>
      <c r="FB6" s="511"/>
      <c r="FC6" s="511"/>
      <c r="FD6" s="511"/>
      <c r="FE6" s="511"/>
      <c r="FF6" s="511"/>
      <c r="FG6" s="511"/>
      <c r="FH6" s="511"/>
      <c r="FI6" s="511"/>
      <c r="FJ6" s="511"/>
      <c r="FK6" s="511"/>
      <c r="FL6" s="511"/>
      <c r="FM6" s="511"/>
      <c r="FN6" s="511"/>
      <c r="FO6" s="511"/>
      <c r="FP6" s="511"/>
      <c r="FQ6" s="511"/>
      <c r="FR6" s="511"/>
      <c r="FS6" s="511"/>
      <c r="FT6" s="511"/>
      <c r="FU6" s="511"/>
      <c r="FV6" s="511"/>
      <c r="FW6" s="511"/>
      <c r="FX6" s="511"/>
      <c r="FY6" s="511"/>
      <c r="FZ6" s="511"/>
      <c r="GA6" s="511"/>
      <c r="GB6" s="511"/>
      <c r="GC6" s="511"/>
      <c r="GD6" s="511"/>
      <c r="GE6" s="511"/>
      <c r="GF6" s="511"/>
      <c r="GG6" s="511"/>
      <c r="GH6" s="511"/>
      <c r="GI6" s="511"/>
      <c r="GJ6" s="511"/>
      <c r="GK6" s="511"/>
      <c r="GL6" s="511"/>
      <c r="GM6" s="511"/>
      <c r="GN6" s="511"/>
      <c r="GO6" s="511"/>
      <c r="GP6" s="511"/>
      <c r="GQ6" s="511"/>
      <c r="GR6" s="511"/>
      <c r="GS6" s="511"/>
      <c r="GT6" s="511"/>
      <c r="GU6" s="511"/>
      <c r="GV6" s="511"/>
      <c r="GW6" s="511"/>
      <c r="GX6" s="511"/>
      <c r="GY6" s="511"/>
      <c r="GZ6" s="511"/>
      <c r="HA6" s="511"/>
      <c r="HB6" s="511"/>
      <c r="HC6" s="511"/>
      <c r="HD6" s="511"/>
      <c r="HE6" s="511"/>
      <c r="HF6" s="511"/>
      <c r="HG6" s="511"/>
      <c r="HH6" s="511"/>
      <c r="HI6" s="511"/>
      <c r="HJ6" s="511"/>
      <c r="HK6" s="511"/>
      <c r="HL6" s="511"/>
      <c r="HM6" s="511"/>
      <c r="HN6" s="511"/>
      <c r="HO6" s="511"/>
      <c r="HP6" s="511"/>
      <c r="HQ6" s="511"/>
      <c r="HR6" s="511"/>
      <c r="HS6" s="511"/>
      <c r="HT6" s="511"/>
      <c r="HU6" s="511"/>
      <c r="HV6" s="511"/>
      <c r="HW6" s="511"/>
      <c r="HX6" s="511"/>
      <c r="HY6" s="511"/>
      <c r="HZ6" s="511"/>
      <c r="IA6" s="511"/>
      <c r="IB6" s="511"/>
      <c r="IC6" s="511"/>
      <c r="ID6" s="511"/>
      <c r="IE6" s="511"/>
      <c r="IF6" s="511"/>
      <c r="IG6" s="511"/>
      <c r="IH6" s="511"/>
      <c r="II6" s="511"/>
      <c r="IJ6" s="511"/>
      <c r="IK6" s="511"/>
      <c r="IL6" s="511"/>
      <c r="IM6" s="511"/>
      <c r="IN6" s="511"/>
      <c r="IO6" s="511"/>
    </row>
    <row r="7" spans="1:249" x14ac:dyDescent="0.25">
      <c r="A7" s="909" t="s">
        <v>1143</v>
      </c>
      <c r="B7" s="910"/>
      <c r="C7" s="910"/>
      <c r="D7" s="840"/>
      <c r="E7" s="802"/>
      <c r="F7" s="514">
        <f>(E9+E10+E11+E15+E16+E19+E20+E27+E28+E30+E32+E14+E25)/13</f>
        <v>38.514295971243754</v>
      </c>
      <c r="G7" s="511"/>
      <c r="H7" s="511"/>
      <c r="I7" s="511"/>
      <c r="J7" s="511"/>
      <c r="K7" s="511"/>
      <c r="L7" s="511"/>
      <c r="M7" s="511"/>
      <c r="N7" s="511"/>
      <c r="O7" s="511"/>
      <c r="P7" s="511"/>
      <c r="Q7" s="511"/>
      <c r="R7" s="511"/>
      <c r="S7" s="511"/>
      <c r="T7" s="511"/>
      <c r="U7" s="511"/>
      <c r="V7" s="511"/>
      <c r="W7" s="511"/>
      <c r="X7" s="511"/>
      <c r="Y7" s="511"/>
      <c r="Z7" s="511"/>
      <c r="AA7" s="511"/>
      <c r="AB7" s="511"/>
      <c r="AC7" s="511"/>
      <c r="AD7" s="511"/>
      <c r="AE7" s="511"/>
      <c r="AF7" s="511"/>
      <c r="AG7" s="511"/>
      <c r="AH7" s="511"/>
      <c r="AI7" s="511"/>
      <c r="AJ7" s="511"/>
      <c r="AK7" s="511"/>
      <c r="AL7" s="511"/>
      <c r="AM7" s="511"/>
      <c r="AN7" s="511"/>
      <c r="AO7" s="511"/>
      <c r="AP7" s="511"/>
      <c r="AQ7" s="511"/>
      <c r="AR7" s="511"/>
      <c r="AS7" s="511"/>
      <c r="AT7" s="511"/>
      <c r="AU7" s="511"/>
      <c r="AV7" s="511"/>
      <c r="AW7" s="511"/>
      <c r="AX7" s="511"/>
      <c r="AY7" s="511"/>
      <c r="AZ7" s="511"/>
      <c r="BA7" s="511"/>
      <c r="BB7" s="511"/>
      <c r="BC7" s="511"/>
      <c r="BD7" s="511"/>
      <c r="BE7" s="511"/>
      <c r="BF7" s="511"/>
      <c r="BG7" s="511"/>
      <c r="BH7" s="511"/>
      <c r="BI7" s="511"/>
      <c r="BJ7" s="511"/>
      <c r="BK7" s="511"/>
      <c r="BL7" s="511"/>
      <c r="BM7" s="511"/>
      <c r="BN7" s="511"/>
      <c r="BO7" s="511"/>
      <c r="BP7" s="511"/>
      <c r="BQ7" s="511"/>
      <c r="BR7" s="511"/>
      <c r="BS7" s="511"/>
      <c r="BT7" s="511"/>
      <c r="BU7" s="511"/>
      <c r="BV7" s="511"/>
      <c r="BW7" s="511"/>
      <c r="BX7" s="511"/>
      <c r="BY7" s="511"/>
      <c r="BZ7" s="511"/>
      <c r="CA7" s="511"/>
      <c r="CB7" s="511"/>
      <c r="CC7" s="511"/>
      <c r="CD7" s="511"/>
      <c r="CE7" s="511"/>
      <c r="CF7" s="511"/>
      <c r="CG7" s="511"/>
      <c r="CH7" s="511"/>
      <c r="CI7" s="511"/>
      <c r="CJ7" s="511"/>
      <c r="CK7" s="511"/>
      <c r="CL7" s="511"/>
      <c r="CM7" s="511"/>
      <c r="CN7" s="511"/>
      <c r="CO7" s="511"/>
      <c r="CP7" s="511"/>
      <c r="CQ7" s="511"/>
      <c r="CR7" s="511"/>
      <c r="CS7" s="511"/>
      <c r="CT7" s="511"/>
      <c r="CU7" s="511"/>
      <c r="CV7" s="511"/>
      <c r="CW7" s="511"/>
      <c r="CX7" s="511"/>
      <c r="CY7" s="511"/>
      <c r="CZ7" s="511"/>
      <c r="DA7" s="511"/>
      <c r="DB7" s="511"/>
      <c r="DC7" s="511"/>
      <c r="DD7" s="511"/>
      <c r="DE7" s="511"/>
      <c r="DF7" s="511"/>
      <c r="DG7" s="511"/>
      <c r="DH7" s="511"/>
      <c r="DI7" s="511"/>
      <c r="DJ7" s="511"/>
      <c r="DK7" s="511"/>
      <c r="DL7" s="511"/>
      <c r="DM7" s="511"/>
      <c r="DN7" s="511"/>
      <c r="DO7" s="511"/>
      <c r="DP7" s="511"/>
      <c r="DQ7" s="511"/>
      <c r="DR7" s="511"/>
      <c r="DS7" s="511"/>
      <c r="DT7" s="511"/>
      <c r="DU7" s="511"/>
      <c r="DV7" s="511"/>
      <c r="DW7" s="511"/>
      <c r="DX7" s="511"/>
      <c r="DY7" s="511"/>
      <c r="DZ7" s="511"/>
      <c r="EA7" s="511"/>
      <c r="EB7" s="511"/>
      <c r="EC7" s="511"/>
      <c r="ED7" s="511"/>
      <c r="EE7" s="511"/>
      <c r="EF7" s="511"/>
      <c r="EG7" s="511"/>
      <c r="EH7" s="511"/>
      <c r="EI7" s="511"/>
      <c r="EJ7" s="511"/>
      <c r="EK7" s="511"/>
      <c r="EL7" s="511"/>
      <c r="EM7" s="511"/>
      <c r="EN7" s="511"/>
      <c r="EO7" s="511"/>
      <c r="EP7" s="511"/>
      <c r="EQ7" s="511"/>
      <c r="ER7" s="511"/>
      <c r="ES7" s="511"/>
      <c r="ET7" s="511"/>
      <c r="EU7" s="511"/>
      <c r="EV7" s="511"/>
      <c r="EW7" s="511"/>
      <c r="EX7" s="511"/>
      <c r="EY7" s="511"/>
      <c r="EZ7" s="511"/>
      <c r="FA7" s="511"/>
      <c r="FB7" s="511"/>
      <c r="FC7" s="511"/>
      <c r="FD7" s="511"/>
      <c r="FE7" s="511"/>
      <c r="FF7" s="511"/>
      <c r="FG7" s="511"/>
      <c r="FH7" s="511"/>
      <c r="FI7" s="511"/>
      <c r="FJ7" s="511"/>
      <c r="FK7" s="511"/>
      <c r="FL7" s="511"/>
      <c r="FM7" s="511"/>
      <c r="FN7" s="511"/>
      <c r="FO7" s="511"/>
      <c r="FP7" s="511"/>
      <c r="FQ7" s="511"/>
      <c r="FR7" s="511"/>
      <c r="FS7" s="511"/>
      <c r="FT7" s="511"/>
      <c r="FU7" s="511"/>
      <c r="FV7" s="511"/>
      <c r="FW7" s="511"/>
      <c r="FX7" s="511"/>
      <c r="FY7" s="511"/>
      <c r="FZ7" s="511"/>
      <c r="GA7" s="511"/>
      <c r="GB7" s="511"/>
      <c r="GC7" s="511"/>
      <c r="GD7" s="511"/>
      <c r="GE7" s="511"/>
      <c r="GF7" s="511"/>
      <c r="GG7" s="511"/>
      <c r="GH7" s="511"/>
      <c r="GI7" s="511"/>
      <c r="GJ7" s="511"/>
      <c r="GK7" s="511"/>
      <c r="GL7" s="511"/>
      <c r="GM7" s="511"/>
      <c r="GN7" s="511"/>
      <c r="GO7" s="511"/>
      <c r="GP7" s="511"/>
      <c r="GQ7" s="511"/>
      <c r="GR7" s="511"/>
      <c r="GS7" s="511"/>
      <c r="GT7" s="511"/>
      <c r="GU7" s="511"/>
      <c r="GV7" s="511"/>
      <c r="GW7" s="511"/>
      <c r="GX7" s="511"/>
      <c r="GY7" s="511"/>
      <c r="GZ7" s="511"/>
      <c r="HA7" s="511"/>
      <c r="HB7" s="511"/>
      <c r="HC7" s="511"/>
      <c r="HD7" s="511"/>
      <c r="HE7" s="511"/>
      <c r="HF7" s="511"/>
      <c r="HG7" s="511"/>
      <c r="HH7" s="511"/>
      <c r="HI7" s="511"/>
      <c r="HJ7" s="511"/>
      <c r="HK7" s="511"/>
      <c r="HL7" s="511"/>
      <c r="HM7" s="511"/>
      <c r="HN7" s="511"/>
      <c r="HO7" s="511"/>
      <c r="HP7" s="511"/>
      <c r="HQ7" s="511"/>
      <c r="HR7" s="511"/>
      <c r="HS7" s="511"/>
      <c r="HT7" s="511"/>
      <c r="HU7" s="511"/>
      <c r="HV7" s="511"/>
      <c r="HW7" s="511"/>
      <c r="HX7" s="511"/>
      <c r="HY7" s="511"/>
      <c r="HZ7" s="511"/>
      <c r="IA7" s="511"/>
      <c r="IB7" s="511"/>
      <c r="IC7" s="511"/>
      <c r="ID7" s="511"/>
      <c r="IE7" s="511"/>
      <c r="IF7" s="511"/>
      <c r="IG7" s="511"/>
      <c r="IH7" s="511"/>
      <c r="II7" s="511"/>
      <c r="IJ7" s="511"/>
      <c r="IK7" s="511"/>
      <c r="IL7" s="511"/>
      <c r="IM7" s="511"/>
      <c r="IN7" s="511"/>
      <c r="IO7" s="511"/>
    </row>
    <row r="8" spans="1:249" x14ac:dyDescent="0.25">
      <c r="A8" s="911" t="s">
        <v>388</v>
      </c>
      <c r="B8" s="912"/>
      <c r="C8" s="912"/>
      <c r="D8" s="912"/>
      <c r="E8" s="913"/>
      <c r="F8" s="515"/>
      <c r="G8" s="511"/>
      <c r="H8" s="511"/>
      <c r="I8" s="511"/>
      <c r="J8" s="511"/>
      <c r="K8" s="511"/>
      <c r="L8" s="511"/>
      <c r="M8" s="511"/>
      <c r="N8" s="511"/>
      <c r="O8" s="511"/>
      <c r="P8" s="511"/>
      <c r="Q8" s="511"/>
      <c r="R8" s="511"/>
      <c r="S8" s="511"/>
      <c r="T8" s="511"/>
      <c r="U8" s="511"/>
      <c r="V8" s="511"/>
      <c r="W8" s="511"/>
      <c r="X8" s="511"/>
      <c r="Y8" s="511"/>
      <c r="Z8" s="511"/>
      <c r="AA8" s="511"/>
      <c r="AB8" s="511"/>
      <c r="AC8" s="511"/>
      <c r="AD8" s="511"/>
      <c r="AE8" s="511"/>
      <c r="AF8" s="511"/>
      <c r="AG8" s="511"/>
      <c r="AH8" s="511"/>
      <c r="AI8" s="511"/>
      <c r="AJ8" s="511"/>
      <c r="AK8" s="511"/>
      <c r="AL8" s="511"/>
      <c r="AM8" s="511"/>
      <c r="AN8" s="511"/>
      <c r="AO8" s="511"/>
      <c r="AP8" s="511"/>
      <c r="AQ8" s="511"/>
      <c r="AR8" s="511"/>
      <c r="AS8" s="511"/>
      <c r="AT8" s="511"/>
      <c r="AU8" s="511"/>
      <c r="AV8" s="511"/>
      <c r="AW8" s="511"/>
      <c r="AX8" s="511"/>
      <c r="AY8" s="511"/>
      <c r="AZ8" s="511"/>
      <c r="BA8" s="511"/>
      <c r="BB8" s="511"/>
      <c r="BC8" s="511"/>
      <c r="BD8" s="511"/>
      <c r="BE8" s="511"/>
      <c r="BF8" s="511"/>
      <c r="BG8" s="511"/>
      <c r="BH8" s="511"/>
      <c r="BI8" s="511"/>
      <c r="BJ8" s="511"/>
      <c r="BK8" s="511"/>
      <c r="BL8" s="511"/>
      <c r="BM8" s="511"/>
      <c r="BN8" s="511"/>
      <c r="BO8" s="511"/>
      <c r="BP8" s="511"/>
      <c r="BQ8" s="511"/>
      <c r="BR8" s="511"/>
      <c r="BS8" s="511"/>
      <c r="BT8" s="511"/>
      <c r="BU8" s="511"/>
      <c r="BV8" s="511"/>
      <c r="BW8" s="511"/>
      <c r="BX8" s="511"/>
      <c r="BY8" s="511"/>
      <c r="BZ8" s="511"/>
      <c r="CA8" s="511"/>
      <c r="CB8" s="511"/>
      <c r="CC8" s="511"/>
      <c r="CD8" s="511"/>
      <c r="CE8" s="511"/>
      <c r="CF8" s="511"/>
      <c r="CG8" s="511"/>
      <c r="CH8" s="511"/>
      <c r="CI8" s="511"/>
      <c r="CJ8" s="511"/>
      <c r="CK8" s="511"/>
      <c r="CL8" s="511"/>
      <c r="CM8" s="511"/>
      <c r="CN8" s="511"/>
      <c r="CO8" s="511"/>
      <c r="CP8" s="511"/>
      <c r="CQ8" s="511"/>
      <c r="CR8" s="511"/>
      <c r="CS8" s="511"/>
      <c r="CT8" s="511"/>
      <c r="CU8" s="511"/>
      <c r="CV8" s="511"/>
      <c r="CW8" s="511"/>
      <c r="CX8" s="511"/>
      <c r="CY8" s="511"/>
      <c r="CZ8" s="511"/>
      <c r="DA8" s="511"/>
      <c r="DB8" s="511"/>
      <c r="DC8" s="511"/>
      <c r="DD8" s="511"/>
      <c r="DE8" s="511"/>
      <c r="DF8" s="511"/>
      <c r="DG8" s="511"/>
      <c r="DH8" s="511"/>
      <c r="DI8" s="511"/>
      <c r="DJ8" s="511"/>
      <c r="DK8" s="511"/>
      <c r="DL8" s="511"/>
      <c r="DM8" s="511"/>
      <c r="DN8" s="511"/>
      <c r="DO8" s="511"/>
      <c r="DP8" s="511"/>
      <c r="DQ8" s="511"/>
      <c r="DR8" s="511"/>
      <c r="DS8" s="511"/>
      <c r="DT8" s="511"/>
      <c r="DU8" s="511"/>
      <c r="DV8" s="511"/>
      <c r="DW8" s="511"/>
      <c r="DX8" s="511"/>
      <c r="DY8" s="511"/>
      <c r="DZ8" s="511"/>
      <c r="EA8" s="511"/>
      <c r="EB8" s="511"/>
      <c r="EC8" s="511"/>
      <c r="ED8" s="511"/>
      <c r="EE8" s="511"/>
      <c r="EF8" s="511"/>
      <c r="EG8" s="511"/>
      <c r="EH8" s="511"/>
      <c r="EI8" s="511"/>
      <c r="EJ8" s="511"/>
      <c r="EK8" s="511"/>
      <c r="EL8" s="511"/>
      <c r="EM8" s="511"/>
      <c r="EN8" s="511"/>
      <c r="EO8" s="511"/>
      <c r="EP8" s="511"/>
      <c r="EQ8" s="511"/>
      <c r="ER8" s="511"/>
      <c r="ES8" s="511"/>
      <c r="ET8" s="511"/>
      <c r="EU8" s="511"/>
      <c r="EV8" s="511"/>
      <c r="EW8" s="511"/>
      <c r="EX8" s="511"/>
      <c r="EY8" s="511"/>
      <c r="EZ8" s="511"/>
      <c r="FA8" s="511"/>
      <c r="FB8" s="511"/>
      <c r="FC8" s="511"/>
      <c r="FD8" s="511"/>
      <c r="FE8" s="511"/>
      <c r="FF8" s="511"/>
      <c r="FG8" s="511"/>
      <c r="FH8" s="511"/>
      <c r="FI8" s="511"/>
      <c r="FJ8" s="511"/>
      <c r="FK8" s="511"/>
      <c r="FL8" s="511"/>
      <c r="FM8" s="511"/>
      <c r="FN8" s="511"/>
      <c r="FO8" s="511"/>
      <c r="FP8" s="511"/>
      <c r="FQ8" s="511"/>
      <c r="FR8" s="511"/>
      <c r="FS8" s="511"/>
      <c r="FT8" s="511"/>
      <c r="FU8" s="511"/>
      <c r="FV8" s="511"/>
      <c r="FW8" s="511"/>
      <c r="FX8" s="511"/>
      <c r="FY8" s="511"/>
      <c r="FZ8" s="511"/>
      <c r="GA8" s="511"/>
      <c r="GB8" s="511"/>
      <c r="GC8" s="511"/>
      <c r="GD8" s="511"/>
      <c r="GE8" s="511"/>
      <c r="GF8" s="511"/>
      <c r="GG8" s="511"/>
      <c r="GH8" s="511"/>
      <c r="GI8" s="511"/>
      <c r="GJ8" s="511"/>
      <c r="GK8" s="511"/>
      <c r="GL8" s="511"/>
      <c r="GM8" s="511"/>
      <c r="GN8" s="511"/>
      <c r="GO8" s="511"/>
      <c r="GP8" s="511"/>
      <c r="GQ8" s="511"/>
      <c r="GR8" s="511"/>
      <c r="GS8" s="511"/>
      <c r="GT8" s="511"/>
      <c r="GU8" s="511"/>
      <c r="GV8" s="511"/>
      <c r="GW8" s="511"/>
      <c r="GX8" s="511"/>
      <c r="GY8" s="511"/>
      <c r="GZ8" s="511"/>
      <c r="HA8" s="511"/>
      <c r="HB8" s="511"/>
      <c r="HC8" s="511"/>
      <c r="HD8" s="511"/>
      <c r="HE8" s="511"/>
      <c r="HF8" s="511"/>
      <c r="HG8" s="511"/>
      <c r="HH8" s="511"/>
      <c r="HI8" s="511"/>
      <c r="HJ8" s="511"/>
      <c r="HK8" s="511"/>
      <c r="HL8" s="511"/>
      <c r="HM8" s="511"/>
      <c r="HN8" s="511"/>
      <c r="HO8" s="511"/>
      <c r="HP8" s="511"/>
      <c r="HQ8" s="511"/>
      <c r="HR8" s="511"/>
      <c r="HS8" s="511"/>
      <c r="HT8" s="511"/>
      <c r="HU8" s="511"/>
      <c r="HV8" s="511"/>
      <c r="HW8" s="511"/>
      <c r="HX8" s="511"/>
      <c r="HY8" s="511"/>
      <c r="HZ8" s="511"/>
      <c r="IA8" s="511"/>
      <c r="IB8" s="511"/>
      <c r="IC8" s="511"/>
      <c r="ID8" s="511"/>
      <c r="IE8" s="511"/>
      <c r="IF8" s="511"/>
      <c r="IG8" s="511"/>
      <c r="IH8" s="511"/>
      <c r="II8" s="511"/>
      <c r="IJ8" s="511"/>
      <c r="IK8" s="511"/>
      <c r="IL8" s="511"/>
      <c r="IM8" s="511"/>
      <c r="IN8" s="511"/>
      <c r="IO8" s="511"/>
    </row>
    <row r="9" spans="1:249" x14ac:dyDescent="0.25">
      <c r="A9" s="516" t="s">
        <v>389</v>
      </c>
      <c r="B9" s="517" t="s">
        <v>390</v>
      </c>
      <c r="C9" s="518">
        <v>7440.44</v>
      </c>
      <c r="D9" s="518">
        <v>5486.9</v>
      </c>
      <c r="E9" s="519">
        <f>SUM(D9/C9)*100</f>
        <v>73.744294692249383</v>
      </c>
      <c r="F9" s="520"/>
      <c r="G9" s="521"/>
      <c r="H9" s="521"/>
      <c r="I9" s="521"/>
      <c r="J9" s="521"/>
      <c r="K9" s="521"/>
      <c r="L9" s="521"/>
      <c r="M9" s="521"/>
      <c r="N9" s="521"/>
      <c r="O9" s="521"/>
      <c r="P9" s="521"/>
      <c r="Q9" s="521"/>
      <c r="R9" s="521"/>
      <c r="S9" s="521"/>
      <c r="T9" s="521"/>
      <c r="U9" s="521"/>
      <c r="V9" s="521"/>
      <c r="W9" s="521"/>
      <c r="X9" s="521"/>
      <c r="Y9" s="521"/>
      <c r="Z9" s="521"/>
      <c r="AA9" s="521"/>
      <c r="AB9" s="521"/>
      <c r="AC9" s="521"/>
      <c r="AD9" s="521"/>
      <c r="AE9" s="521"/>
      <c r="AF9" s="521"/>
      <c r="AG9" s="521"/>
      <c r="AH9" s="521"/>
      <c r="AI9" s="521"/>
      <c r="AJ9" s="521"/>
      <c r="AK9" s="521"/>
      <c r="AL9" s="521"/>
      <c r="AM9" s="521"/>
      <c r="AN9" s="521"/>
      <c r="AO9" s="521"/>
      <c r="AP9" s="521"/>
      <c r="AQ9" s="521"/>
      <c r="AR9" s="521"/>
      <c r="AS9" s="521"/>
      <c r="AT9" s="521"/>
      <c r="AU9" s="521"/>
      <c r="AV9" s="521"/>
      <c r="AW9" s="521"/>
      <c r="AX9" s="521"/>
      <c r="AY9" s="521"/>
      <c r="AZ9" s="521"/>
      <c r="BA9" s="521"/>
      <c r="BB9" s="521"/>
      <c r="BC9" s="521"/>
      <c r="BD9" s="521"/>
      <c r="BE9" s="521"/>
      <c r="BF9" s="521"/>
      <c r="BG9" s="521"/>
      <c r="BH9" s="521"/>
      <c r="BI9" s="521"/>
      <c r="BJ9" s="521"/>
      <c r="BK9" s="521"/>
      <c r="BL9" s="521"/>
      <c r="BM9" s="521"/>
      <c r="BN9" s="521"/>
      <c r="BO9" s="521"/>
      <c r="BP9" s="521"/>
      <c r="BQ9" s="521"/>
      <c r="BR9" s="521"/>
      <c r="BS9" s="521"/>
      <c r="BT9" s="521"/>
      <c r="BU9" s="521"/>
      <c r="BV9" s="521"/>
      <c r="BW9" s="521"/>
      <c r="BX9" s="521"/>
      <c r="BY9" s="521"/>
      <c r="BZ9" s="521"/>
      <c r="CA9" s="521"/>
      <c r="CB9" s="521"/>
      <c r="CC9" s="521"/>
      <c r="CD9" s="521"/>
      <c r="CE9" s="521"/>
      <c r="CF9" s="521"/>
      <c r="CG9" s="521"/>
      <c r="CH9" s="521"/>
      <c r="CI9" s="521"/>
      <c r="CJ9" s="521"/>
      <c r="CK9" s="521"/>
      <c r="CL9" s="521"/>
      <c r="CM9" s="521"/>
      <c r="CN9" s="521"/>
      <c r="CO9" s="521"/>
      <c r="CP9" s="521"/>
      <c r="CQ9" s="521"/>
      <c r="CR9" s="521"/>
      <c r="CS9" s="521"/>
      <c r="CT9" s="521"/>
      <c r="CU9" s="521"/>
      <c r="CV9" s="521"/>
      <c r="CW9" s="521"/>
      <c r="CX9" s="521"/>
      <c r="CY9" s="521"/>
      <c r="CZ9" s="521"/>
      <c r="DA9" s="521"/>
      <c r="DB9" s="521"/>
      <c r="DC9" s="521"/>
      <c r="DD9" s="521"/>
      <c r="DE9" s="521"/>
      <c r="DF9" s="521"/>
      <c r="DG9" s="521"/>
      <c r="DH9" s="521"/>
      <c r="DI9" s="521"/>
      <c r="DJ9" s="521"/>
      <c r="DK9" s="521"/>
      <c r="DL9" s="521"/>
      <c r="DM9" s="521"/>
      <c r="DN9" s="521"/>
      <c r="DO9" s="521"/>
      <c r="DP9" s="521"/>
      <c r="DQ9" s="521"/>
      <c r="DR9" s="521"/>
      <c r="DS9" s="521"/>
      <c r="DT9" s="521"/>
      <c r="DU9" s="521"/>
      <c r="DV9" s="521"/>
      <c r="DW9" s="521"/>
      <c r="DX9" s="521"/>
      <c r="DY9" s="521"/>
      <c r="DZ9" s="521"/>
      <c r="EA9" s="521"/>
      <c r="EB9" s="521"/>
      <c r="EC9" s="521"/>
      <c r="ED9" s="521"/>
      <c r="EE9" s="521"/>
      <c r="EF9" s="521"/>
      <c r="EG9" s="521"/>
      <c r="EH9" s="521"/>
      <c r="EI9" s="521"/>
      <c r="EJ9" s="521"/>
      <c r="EK9" s="521"/>
      <c r="EL9" s="521"/>
      <c r="EM9" s="521"/>
      <c r="EN9" s="521"/>
      <c r="EO9" s="521"/>
      <c r="EP9" s="521"/>
      <c r="EQ9" s="521"/>
      <c r="ER9" s="521"/>
      <c r="ES9" s="521"/>
      <c r="ET9" s="521"/>
      <c r="EU9" s="521"/>
      <c r="EV9" s="521"/>
      <c r="EW9" s="521"/>
      <c r="EX9" s="521"/>
      <c r="EY9" s="521"/>
      <c r="EZ9" s="521"/>
      <c r="FA9" s="521"/>
      <c r="FB9" s="521"/>
      <c r="FC9" s="521"/>
      <c r="FD9" s="521"/>
      <c r="FE9" s="521"/>
      <c r="FF9" s="521"/>
      <c r="FG9" s="521"/>
      <c r="FH9" s="521"/>
      <c r="FI9" s="521"/>
      <c r="FJ9" s="521"/>
      <c r="FK9" s="521"/>
      <c r="FL9" s="521"/>
      <c r="FM9" s="521"/>
      <c r="FN9" s="521"/>
      <c r="FO9" s="521"/>
      <c r="FP9" s="521"/>
      <c r="FQ9" s="521"/>
      <c r="FR9" s="521"/>
      <c r="FS9" s="521"/>
      <c r="FT9" s="521"/>
      <c r="FU9" s="521"/>
      <c r="FV9" s="521"/>
      <c r="FW9" s="521"/>
      <c r="FX9" s="521"/>
      <c r="FY9" s="521"/>
      <c r="FZ9" s="521"/>
      <c r="GA9" s="521"/>
      <c r="GB9" s="521"/>
      <c r="GC9" s="521"/>
      <c r="GD9" s="521"/>
      <c r="GE9" s="521"/>
      <c r="GF9" s="521"/>
      <c r="GG9" s="521"/>
      <c r="GH9" s="521"/>
      <c r="GI9" s="521"/>
      <c r="GJ9" s="521"/>
      <c r="GK9" s="521"/>
      <c r="GL9" s="521"/>
      <c r="GM9" s="521"/>
      <c r="GN9" s="521"/>
      <c r="GO9" s="521"/>
      <c r="GP9" s="521"/>
      <c r="GQ9" s="521"/>
      <c r="GR9" s="521"/>
      <c r="GS9" s="521"/>
      <c r="GT9" s="521"/>
      <c r="GU9" s="521"/>
      <c r="GV9" s="521"/>
      <c r="GW9" s="521"/>
      <c r="GX9" s="521"/>
      <c r="GY9" s="521"/>
      <c r="GZ9" s="521"/>
      <c r="HA9" s="521"/>
      <c r="HB9" s="521"/>
      <c r="HC9" s="521"/>
      <c r="HD9" s="521"/>
      <c r="HE9" s="521"/>
      <c r="HF9" s="521"/>
      <c r="HG9" s="521"/>
      <c r="HH9" s="521"/>
      <c r="HI9" s="521"/>
      <c r="HJ9" s="521"/>
      <c r="HK9" s="521"/>
      <c r="HL9" s="521"/>
      <c r="HM9" s="521"/>
      <c r="HN9" s="521"/>
      <c r="HO9" s="521"/>
      <c r="HP9" s="521"/>
      <c r="HQ9" s="521"/>
      <c r="HR9" s="521"/>
      <c r="HS9" s="521"/>
      <c r="HT9" s="521"/>
      <c r="HU9" s="521"/>
      <c r="HV9" s="521"/>
      <c r="HW9" s="521"/>
      <c r="HX9" s="521"/>
      <c r="HY9" s="521"/>
      <c r="HZ9" s="521"/>
      <c r="IA9" s="521"/>
      <c r="IB9" s="521"/>
      <c r="IC9" s="521"/>
      <c r="ID9" s="521"/>
      <c r="IE9" s="521"/>
      <c r="IF9" s="521"/>
      <c r="IG9" s="521"/>
      <c r="IH9" s="521"/>
      <c r="II9" s="521"/>
      <c r="IJ9" s="521"/>
      <c r="IK9" s="521"/>
      <c r="IL9" s="521"/>
      <c r="IM9" s="521"/>
      <c r="IN9" s="521"/>
      <c r="IO9" s="521"/>
    </row>
    <row r="10" spans="1:249" x14ac:dyDescent="0.25">
      <c r="A10" s="516" t="s">
        <v>391</v>
      </c>
      <c r="B10" s="517" t="s">
        <v>390</v>
      </c>
      <c r="C10" s="518">
        <v>366.44</v>
      </c>
      <c r="D10" s="522">
        <v>366.44</v>
      </c>
      <c r="E10" s="519">
        <f>SUM(D10/C10)*100</f>
        <v>100</v>
      </c>
      <c r="F10" s="520"/>
      <c r="G10" s="521"/>
      <c r="H10" s="521"/>
      <c r="I10" s="521"/>
      <c r="J10" s="521"/>
      <c r="K10" s="521"/>
      <c r="L10" s="521"/>
      <c r="M10" s="521"/>
      <c r="N10" s="521"/>
      <c r="O10" s="521"/>
      <c r="P10" s="521"/>
      <c r="Q10" s="521"/>
      <c r="R10" s="521"/>
      <c r="S10" s="521"/>
      <c r="T10" s="521"/>
      <c r="U10" s="521"/>
      <c r="V10" s="521"/>
      <c r="W10" s="521"/>
      <c r="X10" s="521"/>
      <c r="Y10" s="521"/>
      <c r="Z10" s="521"/>
      <c r="AA10" s="521"/>
      <c r="AB10" s="521"/>
      <c r="AC10" s="521"/>
      <c r="AD10" s="521"/>
      <c r="AE10" s="521"/>
      <c r="AF10" s="521"/>
      <c r="AG10" s="521"/>
      <c r="AH10" s="521"/>
      <c r="AI10" s="521"/>
      <c r="AJ10" s="521"/>
      <c r="AK10" s="521"/>
      <c r="AL10" s="521"/>
      <c r="AM10" s="521"/>
      <c r="AN10" s="521"/>
      <c r="AO10" s="521"/>
      <c r="AP10" s="521"/>
      <c r="AQ10" s="521"/>
      <c r="AR10" s="521"/>
      <c r="AS10" s="521"/>
      <c r="AT10" s="521"/>
      <c r="AU10" s="521"/>
      <c r="AV10" s="521"/>
      <c r="AW10" s="521"/>
      <c r="AX10" s="521"/>
      <c r="AY10" s="521"/>
      <c r="AZ10" s="521"/>
      <c r="BA10" s="521"/>
      <c r="BB10" s="521"/>
      <c r="BC10" s="521"/>
      <c r="BD10" s="521"/>
      <c r="BE10" s="521"/>
      <c r="BF10" s="521"/>
      <c r="BG10" s="521"/>
      <c r="BH10" s="521"/>
      <c r="BI10" s="521"/>
      <c r="BJ10" s="521"/>
      <c r="BK10" s="521"/>
      <c r="BL10" s="521"/>
      <c r="BM10" s="521"/>
      <c r="BN10" s="521"/>
      <c r="BO10" s="521"/>
      <c r="BP10" s="521"/>
      <c r="BQ10" s="521"/>
      <c r="BR10" s="521"/>
      <c r="BS10" s="521"/>
      <c r="BT10" s="521"/>
      <c r="BU10" s="521"/>
      <c r="BV10" s="521"/>
      <c r="BW10" s="521"/>
      <c r="BX10" s="521"/>
      <c r="BY10" s="521"/>
      <c r="BZ10" s="521"/>
      <c r="CA10" s="521"/>
      <c r="CB10" s="521"/>
      <c r="CC10" s="521"/>
      <c r="CD10" s="521"/>
      <c r="CE10" s="521"/>
      <c r="CF10" s="521"/>
      <c r="CG10" s="521"/>
      <c r="CH10" s="521"/>
      <c r="CI10" s="521"/>
      <c r="CJ10" s="521"/>
      <c r="CK10" s="521"/>
      <c r="CL10" s="521"/>
      <c r="CM10" s="521"/>
      <c r="CN10" s="521"/>
      <c r="CO10" s="521"/>
      <c r="CP10" s="521"/>
      <c r="CQ10" s="521"/>
      <c r="CR10" s="521"/>
      <c r="CS10" s="521"/>
      <c r="CT10" s="521"/>
      <c r="CU10" s="521"/>
      <c r="CV10" s="521"/>
      <c r="CW10" s="521"/>
      <c r="CX10" s="521"/>
      <c r="CY10" s="521"/>
      <c r="CZ10" s="521"/>
      <c r="DA10" s="521"/>
      <c r="DB10" s="521"/>
      <c r="DC10" s="521"/>
      <c r="DD10" s="521"/>
      <c r="DE10" s="521"/>
      <c r="DF10" s="521"/>
      <c r="DG10" s="521"/>
      <c r="DH10" s="521"/>
      <c r="DI10" s="521"/>
      <c r="DJ10" s="521"/>
      <c r="DK10" s="521"/>
      <c r="DL10" s="521"/>
      <c r="DM10" s="521"/>
      <c r="DN10" s="521"/>
      <c r="DO10" s="521"/>
      <c r="DP10" s="521"/>
      <c r="DQ10" s="521"/>
      <c r="DR10" s="521"/>
      <c r="DS10" s="521"/>
      <c r="DT10" s="521"/>
      <c r="DU10" s="521"/>
      <c r="DV10" s="521"/>
      <c r="DW10" s="521"/>
      <c r="DX10" s="521"/>
      <c r="DY10" s="521"/>
      <c r="DZ10" s="521"/>
      <c r="EA10" s="521"/>
      <c r="EB10" s="521"/>
      <c r="EC10" s="521"/>
      <c r="ED10" s="521"/>
      <c r="EE10" s="521"/>
      <c r="EF10" s="521"/>
      <c r="EG10" s="521"/>
      <c r="EH10" s="521"/>
      <c r="EI10" s="521"/>
      <c r="EJ10" s="521"/>
      <c r="EK10" s="521"/>
      <c r="EL10" s="521"/>
      <c r="EM10" s="521"/>
      <c r="EN10" s="521"/>
      <c r="EO10" s="521"/>
      <c r="EP10" s="521"/>
      <c r="EQ10" s="521"/>
      <c r="ER10" s="521"/>
      <c r="ES10" s="521"/>
      <c r="ET10" s="521"/>
      <c r="EU10" s="521"/>
      <c r="EV10" s="521"/>
      <c r="EW10" s="521"/>
      <c r="EX10" s="521"/>
      <c r="EY10" s="521"/>
      <c r="EZ10" s="521"/>
      <c r="FA10" s="521"/>
      <c r="FB10" s="521"/>
      <c r="FC10" s="521"/>
      <c r="FD10" s="521"/>
      <c r="FE10" s="521"/>
      <c r="FF10" s="521"/>
      <c r="FG10" s="521"/>
      <c r="FH10" s="521"/>
      <c r="FI10" s="521"/>
      <c r="FJ10" s="521"/>
      <c r="FK10" s="521"/>
      <c r="FL10" s="521"/>
      <c r="FM10" s="521"/>
      <c r="FN10" s="521"/>
      <c r="FO10" s="521"/>
      <c r="FP10" s="521"/>
      <c r="FQ10" s="521"/>
      <c r="FR10" s="521"/>
      <c r="FS10" s="521"/>
      <c r="FT10" s="521"/>
      <c r="FU10" s="521"/>
      <c r="FV10" s="521"/>
      <c r="FW10" s="521"/>
      <c r="FX10" s="521"/>
      <c r="FY10" s="521"/>
      <c r="FZ10" s="521"/>
      <c r="GA10" s="521"/>
      <c r="GB10" s="521"/>
      <c r="GC10" s="521"/>
      <c r="GD10" s="521"/>
      <c r="GE10" s="521"/>
      <c r="GF10" s="521"/>
      <c r="GG10" s="521"/>
      <c r="GH10" s="521"/>
      <c r="GI10" s="521"/>
      <c r="GJ10" s="521"/>
      <c r="GK10" s="521"/>
      <c r="GL10" s="521"/>
      <c r="GM10" s="521"/>
      <c r="GN10" s="521"/>
      <c r="GO10" s="521"/>
      <c r="GP10" s="521"/>
      <c r="GQ10" s="521"/>
      <c r="GR10" s="521"/>
      <c r="GS10" s="521"/>
      <c r="GT10" s="521"/>
      <c r="GU10" s="521"/>
      <c r="GV10" s="521"/>
      <c r="GW10" s="521"/>
      <c r="GX10" s="521"/>
      <c r="GY10" s="521"/>
      <c r="GZ10" s="521"/>
      <c r="HA10" s="521"/>
      <c r="HB10" s="521"/>
      <c r="HC10" s="521"/>
      <c r="HD10" s="521"/>
      <c r="HE10" s="521"/>
      <c r="HF10" s="521"/>
      <c r="HG10" s="521"/>
      <c r="HH10" s="521"/>
      <c r="HI10" s="521"/>
      <c r="HJ10" s="521"/>
      <c r="HK10" s="521"/>
      <c r="HL10" s="521"/>
      <c r="HM10" s="521"/>
      <c r="HN10" s="521"/>
      <c r="HO10" s="521"/>
      <c r="HP10" s="521"/>
      <c r="HQ10" s="521"/>
      <c r="HR10" s="521"/>
      <c r="HS10" s="521"/>
      <c r="HT10" s="521"/>
      <c r="HU10" s="521"/>
      <c r="HV10" s="521"/>
      <c r="HW10" s="521"/>
      <c r="HX10" s="521"/>
      <c r="HY10" s="521"/>
      <c r="HZ10" s="521"/>
      <c r="IA10" s="521"/>
      <c r="IB10" s="521"/>
      <c r="IC10" s="521"/>
      <c r="ID10" s="521"/>
      <c r="IE10" s="521"/>
      <c r="IF10" s="521"/>
      <c r="IG10" s="521"/>
      <c r="IH10" s="521"/>
      <c r="II10" s="521"/>
      <c r="IJ10" s="521"/>
      <c r="IK10" s="521"/>
      <c r="IL10" s="521"/>
      <c r="IM10" s="521"/>
      <c r="IN10" s="521"/>
      <c r="IO10" s="521"/>
    </row>
    <row r="11" spans="1:249" x14ac:dyDescent="0.25">
      <c r="A11" s="516" t="s">
        <v>392</v>
      </c>
      <c r="B11" s="517" t="s">
        <v>390</v>
      </c>
      <c r="C11" s="518">
        <v>7074</v>
      </c>
      <c r="D11" s="518">
        <v>5121.3</v>
      </c>
      <c r="E11" s="519">
        <f>SUM(D11/C11)*100</f>
        <v>72.396098388464807</v>
      </c>
      <c r="F11" s="520"/>
      <c r="G11" s="521"/>
      <c r="H11" s="521"/>
      <c r="I11" s="521"/>
      <c r="J11" s="521"/>
      <c r="K11" s="521"/>
      <c r="L11" s="521"/>
      <c r="M11" s="521"/>
      <c r="N11" s="521"/>
      <c r="O11" s="521"/>
      <c r="P11" s="521"/>
      <c r="Q11" s="521"/>
      <c r="R11" s="521"/>
      <c r="S11" s="521"/>
      <c r="T11" s="521"/>
      <c r="U11" s="521"/>
      <c r="V11" s="521"/>
      <c r="W11" s="521"/>
      <c r="X11" s="521"/>
      <c r="Y11" s="521"/>
      <c r="Z11" s="521"/>
      <c r="AA11" s="521"/>
      <c r="AB11" s="521"/>
      <c r="AC11" s="521"/>
      <c r="AD11" s="521"/>
      <c r="AE11" s="521"/>
      <c r="AF11" s="521"/>
      <c r="AG11" s="521"/>
      <c r="AH11" s="521"/>
      <c r="AI11" s="521"/>
      <c r="AJ11" s="521"/>
      <c r="AK11" s="521"/>
      <c r="AL11" s="521"/>
      <c r="AM11" s="521"/>
      <c r="AN11" s="521"/>
      <c r="AO11" s="521"/>
      <c r="AP11" s="521"/>
      <c r="AQ11" s="521"/>
      <c r="AR11" s="521"/>
      <c r="AS11" s="521"/>
      <c r="AT11" s="521"/>
      <c r="AU11" s="521"/>
      <c r="AV11" s="521"/>
      <c r="AW11" s="521"/>
      <c r="AX11" s="521"/>
      <c r="AY11" s="521"/>
      <c r="AZ11" s="521"/>
      <c r="BA11" s="521"/>
      <c r="BB11" s="521"/>
      <c r="BC11" s="521"/>
      <c r="BD11" s="521"/>
      <c r="BE11" s="521"/>
      <c r="BF11" s="521"/>
      <c r="BG11" s="521"/>
      <c r="BH11" s="521"/>
      <c r="BI11" s="521"/>
      <c r="BJ11" s="521"/>
      <c r="BK11" s="521"/>
      <c r="BL11" s="521"/>
      <c r="BM11" s="521"/>
      <c r="BN11" s="521"/>
      <c r="BO11" s="521"/>
      <c r="BP11" s="521"/>
      <c r="BQ11" s="521"/>
      <c r="BR11" s="521"/>
      <c r="BS11" s="521"/>
      <c r="BT11" s="521"/>
      <c r="BU11" s="521"/>
      <c r="BV11" s="521"/>
      <c r="BW11" s="521"/>
      <c r="BX11" s="521"/>
      <c r="BY11" s="521"/>
      <c r="BZ11" s="521"/>
      <c r="CA11" s="521"/>
      <c r="CB11" s="521"/>
      <c r="CC11" s="521"/>
      <c r="CD11" s="521"/>
      <c r="CE11" s="521"/>
      <c r="CF11" s="521"/>
      <c r="CG11" s="521"/>
      <c r="CH11" s="521"/>
      <c r="CI11" s="521"/>
      <c r="CJ11" s="521"/>
      <c r="CK11" s="521"/>
      <c r="CL11" s="521"/>
      <c r="CM11" s="521"/>
      <c r="CN11" s="521"/>
      <c r="CO11" s="521"/>
      <c r="CP11" s="521"/>
      <c r="CQ11" s="521"/>
      <c r="CR11" s="521"/>
      <c r="CS11" s="521"/>
      <c r="CT11" s="521"/>
      <c r="CU11" s="521"/>
      <c r="CV11" s="521"/>
      <c r="CW11" s="521"/>
      <c r="CX11" s="521"/>
      <c r="CY11" s="521"/>
      <c r="CZ11" s="521"/>
      <c r="DA11" s="521"/>
      <c r="DB11" s="521"/>
      <c r="DC11" s="521"/>
      <c r="DD11" s="521"/>
      <c r="DE11" s="521"/>
      <c r="DF11" s="521"/>
      <c r="DG11" s="521"/>
      <c r="DH11" s="521"/>
      <c r="DI11" s="521"/>
      <c r="DJ11" s="521"/>
      <c r="DK11" s="521"/>
      <c r="DL11" s="521"/>
      <c r="DM11" s="521"/>
      <c r="DN11" s="521"/>
      <c r="DO11" s="521"/>
      <c r="DP11" s="521"/>
      <c r="DQ11" s="521"/>
      <c r="DR11" s="521"/>
      <c r="DS11" s="521"/>
      <c r="DT11" s="521"/>
      <c r="DU11" s="521"/>
      <c r="DV11" s="521"/>
      <c r="DW11" s="521"/>
      <c r="DX11" s="521"/>
      <c r="DY11" s="521"/>
      <c r="DZ11" s="521"/>
      <c r="EA11" s="521"/>
      <c r="EB11" s="521"/>
      <c r="EC11" s="521"/>
      <c r="ED11" s="521"/>
      <c r="EE11" s="521"/>
      <c r="EF11" s="521"/>
      <c r="EG11" s="521"/>
      <c r="EH11" s="521"/>
      <c r="EI11" s="521"/>
      <c r="EJ11" s="521"/>
      <c r="EK11" s="521"/>
      <c r="EL11" s="521"/>
      <c r="EM11" s="521"/>
      <c r="EN11" s="521"/>
      <c r="EO11" s="521"/>
      <c r="EP11" s="521"/>
      <c r="EQ11" s="521"/>
      <c r="ER11" s="521"/>
      <c r="ES11" s="521"/>
      <c r="ET11" s="521"/>
      <c r="EU11" s="521"/>
      <c r="EV11" s="521"/>
      <c r="EW11" s="521"/>
      <c r="EX11" s="521"/>
      <c r="EY11" s="521"/>
      <c r="EZ11" s="521"/>
      <c r="FA11" s="521"/>
      <c r="FB11" s="521"/>
      <c r="FC11" s="521"/>
      <c r="FD11" s="521"/>
      <c r="FE11" s="521"/>
      <c r="FF11" s="521"/>
      <c r="FG11" s="521"/>
      <c r="FH11" s="521"/>
      <c r="FI11" s="521"/>
      <c r="FJ11" s="521"/>
      <c r="FK11" s="521"/>
      <c r="FL11" s="521"/>
      <c r="FM11" s="521"/>
      <c r="FN11" s="521"/>
      <c r="FO11" s="521"/>
      <c r="FP11" s="521"/>
      <c r="FQ11" s="521"/>
      <c r="FR11" s="521"/>
      <c r="FS11" s="521"/>
      <c r="FT11" s="521"/>
      <c r="FU11" s="521"/>
      <c r="FV11" s="521"/>
      <c r="FW11" s="521"/>
      <c r="FX11" s="521"/>
      <c r="FY11" s="521"/>
      <c r="FZ11" s="521"/>
      <c r="GA11" s="521"/>
      <c r="GB11" s="521"/>
      <c r="GC11" s="521"/>
      <c r="GD11" s="521"/>
      <c r="GE11" s="521"/>
      <c r="GF11" s="521"/>
      <c r="GG11" s="521"/>
      <c r="GH11" s="521"/>
      <c r="GI11" s="521"/>
      <c r="GJ11" s="521"/>
      <c r="GK11" s="521"/>
      <c r="GL11" s="521"/>
      <c r="GM11" s="521"/>
      <c r="GN11" s="521"/>
      <c r="GO11" s="521"/>
      <c r="GP11" s="521"/>
      <c r="GQ11" s="521"/>
      <c r="GR11" s="521"/>
      <c r="GS11" s="521"/>
      <c r="GT11" s="521"/>
      <c r="GU11" s="521"/>
      <c r="GV11" s="521"/>
      <c r="GW11" s="521"/>
      <c r="GX11" s="521"/>
      <c r="GY11" s="521"/>
      <c r="GZ11" s="521"/>
      <c r="HA11" s="521"/>
      <c r="HB11" s="521"/>
      <c r="HC11" s="521"/>
      <c r="HD11" s="521"/>
      <c r="HE11" s="521"/>
      <c r="HF11" s="521"/>
      <c r="HG11" s="521"/>
      <c r="HH11" s="521"/>
      <c r="HI11" s="521"/>
      <c r="HJ11" s="521"/>
      <c r="HK11" s="521"/>
      <c r="HL11" s="521"/>
      <c r="HM11" s="521"/>
      <c r="HN11" s="521"/>
      <c r="HO11" s="521"/>
      <c r="HP11" s="521"/>
      <c r="HQ11" s="521"/>
      <c r="HR11" s="521"/>
      <c r="HS11" s="521"/>
      <c r="HT11" s="521"/>
      <c r="HU11" s="521"/>
      <c r="HV11" s="521"/>
      <c r="HW11" s="521"/>
      <c r="HX11" s="521"/>
      <c r="HY11" s="521"/>
      <c r="HZ11" s="521"/>
      <c r="IA11" s="521"/>
      <c r="IB11" s="521"/>
      <c r="IC11" s="521"/>
      <c r="ID11" s="521"/>
      <c r="IE11" s="521"/>
      <c r="IF11" s="521"/>
      <c r="IG11" s="521"/>
      <c r="IH11" s="521"/>
      <c r="II11" s="521"/>
      <c r="IJ11" s="521"/>
      <c r="IK11" s="521"/>
      <c r="IL11" s="521"/>
      <c r="IM11" s="521"/>
      <c r="IN11" s="521"/>
      <c r="IO11" s="521"/>
    </row>
    <row r="12" spans="1:249" ht="31.5" customHeight="1" x14ac:dyDescent="0.25">
      <c r="A12" s="843" t="s">
        <v>393</v>
      </c>
      <c r="B12" s="843"/>
      <c r="C12" s="843"/>
      <c r="D12" s="914"/>
      <c r="E12" s="914"/>
      <c r="F12" s="523"/>
    </row>
    <row r="13" spans="1:249" ht="31.5" hidden="1" x14ac:dyDescent="0.25">
      <c r="A13" s="524" t="s">
        <v>394</v>
      </c>
      <c r="B13" s="525" t="s">
        <v>395</v>
      </c>
      <c r="C13" s="526">
        <v>0</v>
      </c>
      <c r="D13" s="527">
        <v>0</v>
      </c>
      <c r="E13" s="519">
        <v>0</v>
      </c>
      <c r="F13" s="523"/>
    </row>
    <row r="14" spans="1:249" x14ac:dyDescent="0.25">
      <c r="A14" s="524" t="s">
        <v>396</v>
      </c>
      <c r="B14" s="528" t="s">
        <v>395</v>
      </c>
      <c r="C14" s="526">
        <v>3</v>
      </c>
      <c r="D14" s="527">
        <v>0</v>
      </c>
      <c r="E14" s="519">
        <v>0</v>
      </c>
      <c r="F14" s="523"/>
    </row>
    <row r="15" spans="1:249" ht="31.5" x14ac:dyDescent="0.25">
      <c r="A15" s="524" t="s">
        <v>397</v>
      </c>
      <c r="B15" s="525" t="s">
        <v>395</v>
      </c>
      <c r="C15" s="526">
        <v>0</v>
      </c>
      <c r="D15" s="527">
        <v>0</v>
      </c>
      <c r="E15" s="519">
        <v>0</v>
      </c>
      <c r="F15" s="523"/>
    </row>
    <row r="16" spans="1:249" ht="31.5" x14ac:dyDescent="0.25">
      <c r="A16" s="524" t="s">
        <v>398</v>
      </c>
      <c r="B16" s="528" t="s">
        <v>395</v>
      </c>
      <c r="C16" s="526">
        <v>2</v>
      </c>
      <c r="D16" s="527">
        <v>2</v>
      </c>
      <c r="E16" s="519">
        <f>SUM(D16/C16)*100</f>
        <v>100</v>
      </c>
      <c r="F16" s="523"/>
    </row>
    <row r="17" spans="1:6" ht="31.5" hidden="1" x14ac:dyDescent="0.25">
      <c r="A17" s="524" t="s">
        <v>399</v>
      </c>
      <c r="B17" s="528" t="s">
        <v>395</v>
      </c>
      <c r="C17" s="526">
        <v>0</v>
      </c>
      <c r="D17" s="527">
        <v>0</v>
      </c>
      <c r="E17" s="519">
        <v>0</v>
      </c>
      <c r="F17" s="523"/>
    </row>
    <row r="18" spans="1:6" x14ac:dyDescent="0.25">
      <c r="A18" s="915" t="s">
        <v>14</v>
      </c>
      <c r="B18" s="915"/>
      <c r="C18" s="915"/>
      <c r="D18" s="915"/>
      <c r="E18" s="915"/>
      <c r="F18" s="523"/>
    </row>
    <row r="19" spans="1:6" x14ac:dyDescent="0.25">
      <c r="A19" s="524" t="s">
        <v>400</v>
      </c>
      <c r="B19" s="517" t="s">
        <v>390</v>
      </c>
      <c r="C19" s="529">
        <v>0</v>
      </c>
      <c r="D19" s="530">
        <v>0</v>
      </c>
      <c r="E19" s="531">
        <v>0</v>
      </c>
      <c r="F19" s="523"/>
    </row>
    <row r="20" spans="1:6" x14ac:dyDescent="0.25">
      <c r="A20" s="524" t="s">
        <v>401</v>
      </c>
      <c r="B20" s="517" t="s">
        <v>386</v>
      </c>
      <c r="C20" s="529">
        <v>0</v>
      </c>
      <c r="D20" s="530">
        <v>0</v>
      </c>
      <c r="E20" s="519">
        <v>0</v>
      </c>
      <c r="F20" s="523"/>
    </row>
    <row r="21" spans="1:6" hidden="1" x14ac:dyDescent="0.25">
      <c r="A21" s="914" t="s">
        <v>16</v>
      </c>
      <c r="B21" s="914"/>
      <c r="C21" s="914"/>
      <c r="D21" s="914"/>
      <c r="E21" s="914"/>
      <c r="F21" s="523"/>
    </row>
    <row r="22" spans="1:6" hidden="1" x14ac:dyDescent="0.25">
      <c r="A22" s="516" t="s">
        <v>402</v>
      </c>
      <c r="B22" s="525" t="s">
        <v>403</v>
      </c>
      <c r="C22" s="525">
        <v>0</v>
      </c>
      <c r="D22" s="532">
        <v>0</v>
      </c>
      <c r="E22" s="519"/>
      <c r="F22" s="523"/>
    </row>
    <row r="23" spans="1:6" hidden="1" x14ac:dyDescent="0.25">
      <c r="A23" s="516" t="s">
        <v>404</v>
      </c>
      <c r="B23" s="525" t="s">
        <v>390</v>
      </c>
      <c r="C23" s="525">
        <v>0</v>
      </c>
      <c r="D23" s="512">
        <v>0</v>
      </c>
      <c r="E23" s="519"/>
      <c r="F23" s="523"/>
    </row>
    <row r="24" spans="1:6" ht="21.75" customHeight="1" x14ac:dyDescent="0.25">
      <c r="A24" s="897" t="s">
        <v>18</v>
      </c>
      <c r="B24" s="897"/>
      <c r="C24" s="897"/>
      <c r="D24" s="897"/>
      <c r="E24" s="897"/>
      <c r="F24" s="523"/>
    </row>
    <row r="25" spans="1:6" x14ac:dyDescent="0.25">
      <c r="A25" s="533" t="s">
        <v>405</v>
      </c>
      <c r="B25" s="534" t="s">
        <v>390</v>
      </c>
      <c r="C25" s="529">
        <v>0</v>
      </c>
      <c r="D25" s="530">
        <v>0</v>
      </c>
      <c r="E25" s="519">
        <v>0</v>
      </c>
      <c r="F25" s="523"/>
    </row>
    <row r="26" spans="1:6" x14ac:dyDescent="0.25">
      <c r="A26" s="897" t="s">
        <v>20</v>
      </c>
      <c r="B26" s="897"/>
      <c r="C26" s="897"/>
      <c r="D26" s="897"/>
      <c r="E26" s="519"/>
      <c r="F26" s="523"/>
    </row>
    <row r="27" spans="1:6" x14ac:dyDescent="0.25">
      <c r="A27" s="533" t="s">
        <v>402</v>
      </c>
      <c r="B27" s="534" t="s">
        <v>403</v>
      </c>
      <c r="C27" s="535">
        <v>11</v>
      </c>
      <c r="D27" s="536">
        <v>6</v>
      </c>
      <c r="E27" s="519">
        <f>D27/C27*100</f>
        <v>54.54545454545454</v>
      </c>
      <c r="F27" s="523"/>
    </row>
    <row r="28" spans="1:6" x14ac:dyDescent="0.25">
      <c r="A28" s="533" t="s">
        <v>404</v>
      </c>
      <c r="B28" s="534" t="s">
        <v>390</v>
      </c>
      <c r="C28" s="535">
        <v>0</v>
      </c>
      <c r="D28" s="536">
        <v>0</v>
      </c>
      <c r="E28" s="519">
        <v>0</v>
      </c>
      <c r="F28" s="523"/>
    </row>
    <row r="29" spans="1:6" x14ac:dyDescent="0.25">
      <c r="A29" s="897" t="s">
        <v>23</v>
      </c>
      <c r="B29" s="897"/>
      <c r="C29" s="897"/>
      <c r="D29" s="897"/>
      <c r="E29" s="897"/>
      <c r="F29" s="523"/>
    </row>
    <row r="30" spans="1:6" ht="31.5" x14ac:dyDescent="0.25">
      <c r="A30" s="516" t="s">
        <v>406</v>
      </c>
      <c r="B30" s="517" t="s">
        <v>403</v>
      </c>
      <c r="C30" s="537">
        <v>10</v>
      </c>
      <c r="D30" s="536">
        <v>10</v>
      </c>
      <c r="E30" s="519">
        <f>D30/C30*100</f>
        <v>100</v>
      </c>
      <c r="F30" s="523"/>
    </row>
    <row r="31" spans="1:6" x14ac:dyDescent="0.25">
      <c r="A31" s="897" t="s">
        <v>25</v>
      </c>
      <c r="B31" s="897"/>
      <c r="C31" s="897"/>
      <c r="D31" s="897"/>
      <c r="E31" s="897"/>
      <c r="F31" s="523"/>
    </row>
    <row r="32" spans="1:6" x14ac:dyDescent="0.25">
      <c r="A32" s="516" t="s">
        <v>402</v>
      </c>
      <c r="B32" s="532" t="s">
        <v>403</v>
      </c>
      <c r="C32" s="538">
        <v>0</v>
      </c>
      <c r="D32" s="536">
        <v>0</v>
      </c>
      <c r="E32" s="519">
        <v>0</v>
      </c>
      <c r="F32" s="523"/>
    </row>
    <row r="33" spans="1:6" hidden="1" x14ac:dyDescent="0.25">
      <c r="A33" s="843" t="s">
        <v>407</v>
      </c>
      <c r="B33" s="843"/>
      <c r="C33" s="843"/>
      <c r="D33" s="843"/>
      <c r="E33" s="843"/>
      <c r="F33" s="523"/>
    </row>
    <row r="34" spans="1:6" hidden="1" x14ac:dyDescent="0.25">
      <c r="A34" s="539" t="s">
        <v>404</v>
      </c>
      <c r="B34" s="534" t="s">
        <v>408</v>
      </c>
      <c r="C34" s="534">
        <v>0</v>
      </c>
      <c r="D34" s="536">
        <v>0</v>
      </c>
      <c r="E34" s="519">
        <v>0</v>
      </c>
      <c r="F34" s="523"/>
    </row>
    <row r="35" spans="1:6" hidden="1" x14ac:dyDescent="0.25">
      <c r="A35" s="844" t="s">
        <v>409</v>
      </c>
      <c r="B35" s="844"/>
      <c r="C35" s="844"/>
      <c r="D35" s="844"/>
      <c r="E35" s="844"/>
      <c r="F35" s="523"/>
    </row>
    <row r="36" spans="1:6" hidden="1" x14ac:dyDescent="0.25">
      <c r="A36" s="540" t="s">
        <v>402</v>
      </c>
      <c r="B36" s="541" t="s">
        <v>403</v>
      </c>
      <c r="C36" s="526">
        <v>0</v>
      </c>
      <c r="D36" s="536">
        <v>0</v>
      </c>
      <c r="E36" s="519"/>
      <c r="F36" s="523"/>
    </row>
    <row r="37" spans="1:6" hidden="1" x14ac:dyDescent="0.25">
      <c r="A37" s="542" t="s">
        <v>404</v>
      </c>
      <c r="B37" s="541" t="s">
        <v>408</v>
      </c>
      <c r="C37" s="535">
        <v>0</v>
      </c>
      <c r="D37" s="543">
        <v>0</v>
      </c>
      <c r="E37" s="519"/>
      <c r="F37" s="523"/>
    </row>
    <row r="38" spans="1:6" hidden="1" x14ac:dyDescent="0.25">
      <c r="A38" s="844" t="s">
        <v>33</v>
      </c>
      <c r="B38" s="844"/>
      <c r="C38" s="844"/>
      <c r="D38" s="844"/>
      <c r="E38" s="844"/>
      <c r="F38" s="523"/>
    </row>
    <row r="39" spans="1:6" hidden="1" x14ac:dyDescent="0.25">
      <c r="A39" s="540" t="s">
        <v>410</v>
      </c>
      <c r="B39" s="541" t="s">
        <v>411</v>
      </c>
      <c r="C39" s="534">
        <v>0</v>
      </c>
      <c r="D39" s="536">
        <v>0</v>
      </c>
      <c r="E39" s="519"/>
      <c r="F39" s="523"/>
    </row>
    <row r="40" spans="1:6" x14ac:dyDescent="0.25">
      <c r="A40" s="799" t="s">
        <v>1144</v>
      </c>
      <c r="B40" s="800"/>
      <c r="C40" s="800"/>
      <c r="D40" s="800"/>
      <c r="E40" s="845"/>
      <c r="F40" s="544">
        <f>(E42+E43+E44+E45+E46)/5</f>
        <v>85.958982772764557</v>
      </c>
    </row>
    <row r="41" spans="1:6" ht="29.25" customHeight="1" x14ac:dyDescent="0.25">
      <c r="A41" s="846" t="s">
        <v>412</v>
      </c>
      <c r="B41" s="847"/>
      <c r="C41" s="847"/>
      <c r="D41" s="847"/>
      <c r="E41" s="848"/>
      <c r="F41" s="523"/>
    </row>
    <row r="42" spans="1:6" ht="31.5" x14ac:dyDescent="0.25">
      <c r="A42" s="545" t="s">
        <v>413</v>
      </c>
      <c r="B42" s="546" t="s">
        <v>414</v>
      </c>
      <c r="C42" s="704">
        <v>565.4</v>
      </c>
      <c r="D42" s="704">
        <v>565.4</v>
      </c>
      <c r="E42" s="519">
        <f t="shared" ref="E42:E45" si="0">D42/C42*100</f>
        <v>100</v>
      </c>
      <c r="F42" s="547"/>
    </row>
    <row r="43" spans="1:6" ht="31.5" x14ac:dyDescent="0.25">
      <c r="A43" s="545" t="s">
        <v>415</v>
      </c>
      <c r="B43" s="546" t="s">
        <v>414</v>
      </c>
      <c r="C43" s="705">
        <v>486.6</v>
      </c>
      <c r="D43" s="704">
        <v>487.6</v>
      </c>
      <c r="E43" s="519">
        <f>SUM(C43/D43*100)</f>
        <v>99.794913863822813</v>
      </c>
      <c r="F43" s="547"/>
    </row>
    <row r="44" spans="1:6" ht="31.5" x14ac:dyDescent="0.25">
      <c r="A44" s="545" t="s">
        <v>416</v>
      </c>
      <c r="B44" s="546" t="s">
        <v>414</v>
      </c>
      <c r="C44" s="706">
        <v>3</v>
      </c>
      <c r="D44" s="704">
        <v>5</v>
      </c>
      <c r="E44" s="519">
        <v>100</v>
      </c>
      <c r="F44" s="547"/>
    </row>
    <row r="45" spans="1:6" ht="24" customHeight="1" x14ac:dyDescent="0.25">
      <c r="A45" s="548" t="s">
        <v>810</v>
      </c>
      <c r="B45" s="38" t="s">
        <v>414</v>
      </c>
      <c r="C45" s="707">
        <v>2</v>
      </c>
      <c r="D45" s="704">
        <v>2</v>
      </c>
      <c r="E45" s="519">
        <f t="shared" si="0"/>
        <v>100</v>
      </c>
      <c r="F45" s="523"/>
    </row>
    <row r="46" spans="1:6" ht="31.5" x14ac:dyDescent="0.25">
      <c r="A46" s="549" t="s">
        <v>1135</v>
      </c>
      <c r="B46" s="38" t="s">
        <v>417</v>
      </c>
      <c r="C46" s="707">
        <v>5</v>
      </c>
      <c r="D46" s="704">
        <v>1.5</v>
      </c>
      <c r="E46" s="519">
        <f>D46/C46*100</f>
        <v>30</v>
      </c>
      <c r="F46" s="523"/>
    </row>
    <row r="47" spans="1:6" ht="18" customHeight="1" x14ac:dyDescent="0.25">
      <c r="A47" s="849" t="s">
        <v>1145</v>
      </c>
      <c r="B47" s="850"/>
      <c r="C47" s="850"/>
      <c r="D47" s="850"/>
      <c r="E47" s="851"/>
      <c r="F47" s="550">
        <f>SUM(E49:E67)/19</f>
        <v>92.018046905639636</v>
      </c>
    </row>
    <row r="48" spans="1:6" ht="51.75" customHeight="1" x14ac:dyDescent="0.25">
      <c r="A48" s="757" t="s">
        <v>1142</v>
      </c>
      <c r="B48" s="757"/>
      <c r="C48" s="757"/>
      <c r="D48" s="757"/>
      <c r="E48" s="758"/>
      <c r="F48" s="689"/>
    </row>
    <row r="49" spans="1:6" ht="47.25" x14ac:dyDescent="0.25">
      <c r="A49" s="551" t="s">
        <v>814</v>
      </c>
      <c r="B49" s="552" t="s">
        <v>386</v>
      </c>
      <c r="C49" s="489">
        <v>100</v>
      </c>
      <c r="D49" s="489">
        <v>100</v>
      </c>
      <c r="E49" s="519">
        <f t="shared" ref="E49:E65" si="1">D49/C49*100</f>
        <v>100</v>
      </c>
      <c r="F49" s="553"/>
    </row>
    <row r="50" spans="1:6" ht="47.25" x14ac:dyDescent="0.25">
      <c r="A50" s="551" t="s">
        <v>815</v>
      </c>
      <c r="B50" s="552" t="s">
        <v>386</v>
      </c>
      <c r="C50" s="489">
        <v>29.2</v>
      </c>
      <c r="D50" s="489">
        <v>16.899999999999999</v>
      </c>
      <c r="E50" s="519">
        <v>57.88</v>
      </c>
      <c r="F50" s="553"/>
    </row>
    <row r="51" spans="1:6" ht="47.25" x14ac:dyDescent="0.25">
      <c r="A51" s="551" t="s">
        <v>816</v>
      </c>
      <c r="B51" s="552" t="s">
        <v>386</v>
      </c>
      <c r="C51" s="489">
        <v>67.099999999999994</v>
      </c>
      <c r="D51" s="489">
        <v>34.799999999999997</v>
      </c>
      <c r="E51" s="519">
        <f>D51*100/C51</f>
        <v>51.862891207153503</v>
      </c>
      <c r="F51" s="553"/>
    </row>
    <row r="52" spans="1:6" ht="47.25" x14ac:dyDescent="0.25">
      <c r="A52" s="551" t="s">
        <v>817</v>
      </c>
      <c r="B52" s="552" t="s">
        <v>386</v>
      </c>
      <c r="C52" s="489">
        <v>4.5</v>
      </c>
      <c r="D52" s="489">
        <v>4.5999999999999996</v>
      </c>
      <c r="E52" s="519">
        <v>100</v>
      </c>
      <c r="F52" s="553"/>
    </row>
    <row r="53" spans="1:6" ht="47.25" x14ac:dyDescent="0.25">
      <c r="A53" s="551" t="s">
        <v>818</v>
      </c>
      <c r="B53" s="552" t="s">
        <v>386</v>
      </c>
      <c r="C53" s="489">
        <v>99</v>
      </c>
      <c r="D53" s="489">
        <v>100</v>
      </c>
      <c r="E53" s="519">
        <v>100</v>
      </c>
      <c r="F53" s="553"/>
    </row>
    <row r="54" spans="1:6" ht="45.75" customHeight="1" x14ac:dyDescent="0.25">
      <c r="A54" s="551" t="s">
        <v>819</v>
      </c>
      <c r="B54" s="552" t="s">
        <v>820</v>
      </c>
      <c r="C54" s="489">
        <v>19.117999999999999</v>
      </c>
      <c r="D54" s="489">
        <v>12.965</v>
      </c>
      <c r="E54" s="519">
        <v>100</v>
      </c>
      <c r="F54" s="553"/>
    </row>
    <row r="55" spans="1:6" ht="46.5" customHeight="1" x14ac:dyDescent="0.25">
      <c r="A55" s="551" t="s">
        <v>821</v>
      </c>
      <c r="B55" s="552" t="s">
        <v>822</v>
      </c>
      <c r="C55" s="489">
        <v>0.29699999999999999</v>
      </c>
      <c r="D55" s="489">
        <v>0.13500000000000001</v>
      </c>
      <c r="E55" s="519">
        <v>100</v>
      </c>
      <c r="F55" s="553"/>
    </row>
    <row r="56" spans="1:6" ht="47.25" x14ac:dyDescent="0.25">
      <c r="A56" s="551" t="s">
        <v>823</v>
      </c>
      <c r="B56" s="552" t="s">
        <v>824</v>
      </c>
      <c r="C56" s="489">
        <v>1.4</v>
      </c>
      <c r="D56" s="489">
        <v>0.9</v>
      </c>
      <c r="E56" s="519">
        <v>100</v>
      </c>
      <c r="F56" s="553"/>
    </row>
    <row r="57" spans="1:6" ht="47.25" x14ac:dyDescent="0.25">
      <c r="A57" s="551" t="s">
        <v>825</v>
      </c>
      <c r="B57" s="552" t="s">
        <v>824</v>
      </c>
      <c r="C57" s="489">
        <v>0.3</v>
      </c>
      <c r="D57" s="489">
        <v>0.1</v>
      </c>
      <c r="E57" s="519">
        <v>100</v>
      </c>
      <c r="F57" s="553"/>
    </row>
    <row r="58" spans="1:6" ht="47.25" x14ac:dyDescent="0.25">
      <c r="A58" s="551" t="s">
        <v>826</v>
      </c>
      <c r="B58" s="552" t="s">
        <v>824</v>
      </c>
      <c r="C58" s="489">
        <v>6.3E-2</v>
      </c>
      <c r="D58" s="489">
        <v>8.2000000000000003E-2</v>
      </c>
      <c r="E58" s="519">
        <v>69.8</v>
      </c>
      <c r="F58" s="553"/>
    </row>
    <row r="59" spans="1:6" ht="93" customHeight="1" x14ac:dyDescent="0.25">
      <c r="A59" s="551" t="s">
        <v>838</v>
      </c>
      <c r="B59" s="552" t="s">
        <v>386</v>
      </c>
      <c r="C59" s="489">
        <v>10</v>
      </c>
      <c r="D59" s="489">
        <v>8.11</v>
      </c>
      <c r="E59" s="519">
        <f t="shared" si="1"/>
        <v>81.099999999999994</v>
      </c>
      <c r="F59" s="553"/>
    </row>
    <row r="60" spans="1:6" ht="33.75" customHeight="1" x14ac:dyDescent="0.25">
      <c r="A60" s="551" t="s">
        <v>827</v>
      </c>
      <c r="B60" s="552" t="s">
        <v>822</v>
      </c>
      <c r="C60" s="489">
        <v>0.33</v>
      </c>
      <c r="D60" s="489">
        <v>0.24</v>
      </c>
      <c r="E60" s="519">
        <v>100</v>
      </c>
      <c r="F60" s="553"/>
    </row>
    <row r="61" spans="1:6" ht="24" customHeight="1" x14ac:dyDescent="0.25">
      <c r="A61" s="551" t="s">
        <v>828</v>
      </c>
      <c r="B61" s="552" t="s">
        <v>824</v>
      </c>
      <c r="C61" s="489">
        <v>16.12</v>
      </c>
      <c r="D61" s="489">
        <v>9.9499999999999993</v>
      </c>
      <c r="E61" s="519">
        <v>100</v>
      </c>
      <c r="F61" s="553"/>
    </row>
    <row r="62" spans="1:6" ht="22.5" customHeight="1" x14ac:dyDescent="0.25">
      <c r="A62" s="551" t="s">
        <v>829</v>
      </c>
      <c r="B62" s="552" t="s">
        <v>824</v>
      </c>
      <c r="C62" s="489">
        <v>0.87</v>
      </c>
      <c r="D62" s="489">
        <v>0.36</v>
      </c>
      <c r="E62" s="519">
        <v>100</v>
      </c>
      <c r="F62" s="553"/>
    </row>
    <row r="63" spans="1:6" ht="32.25" customHeight="1" x14ac:dyDescent="0.25">
      <c r="A63" s="551" t="s">
        <v>830</v>
      </c>
      <c r="B63" s="552" t="s">
        <v>820</v>
      </c>
      <c r="C63" s="489">
        <v>25.22</v>
      </c>
      <c r="D63" s="489">
        <v>19.84</v>
      </c>
      <c r="E63" s="519">
        <v>100</v>
      </c>
      <c r="F63" s="553"/>
    </row>
    <row r="64" spans="1:6" ht="31.5" x14ac:dyDescent="0.25">
      <c r="A64" s="551" t="s">
        <v>831</v>
      </c>
      <c r="B64" s="552" t="s">
        <v>832</v>
      </c>
      <c r="C64" s="489">
        <v>0.17</v>
      </c>
      <c r="D64" s="489">
        <v>0.18</v>
      </c>
      <c r="E64" s="519">
        <v>94.1</v>
      </c>
      <c r="F64" s="553"/>
    </row>
    <row r="65" spans="1:6" ht="31.5" x14ac:dyDescent="0.25">
      <c r="A65" s="551" t="s">
        <v>833</v>
      </c>
      <c r="B65" s="552" t="s">
        <v>834</v>
      </c>
      <c r="C65" s="489">
        <v>0.22</v>
      </c>
      <c r="D65" s="489">
        <v>0.22</v>
      </c>
      <c r="E65" s="519">
        <f t="shared" si="1"/>
        <v>100</v>
      </c>
      <c r="F65" s="553"/>
    </row>
    <row r="66" spans="1:6" ht="34.5" customHeight="1" x14ac:dyDescent="0.25">
      <c r="A66" s="551" t="s">
        <v>835</v>
      </c>
      <c r="B66" s="552" t="s">
        <v>386</v>
      </c>
      <c r="C66" s="489">
        <v>27.67</v>
      </c>
      <c r="D66" s="489">
        <v>29.45</v>
      </c>
      <c r="E66" s="519">
        <v>93.6</v>
      </c>
      <c r="F66" s="553"/>
    </row>
    <row r="67" spans="1:6" ht="51.75" customHeight="1" x14ac:dyDescent="0.25">
      <c r="A67" s="551" t="s">
        <v>836</v>
      </c>
      <c r="B67" s="552" t="s">
        <v>837</v>
      </c>
      <c r="C67" s="489">
        <v>7.7</v>
      </c>
      <c r="D67" s="489">
        <v>5.79</v>
      </c>
      <c r="E67" s="519">
        <v>100</v>
      </c>
      <c r="F67" s="553"/>
    </row>
    <row r="68" spans="1:6" ht="31.5" hidden="1" x14ac:dyDescent="0.25">
      <c r="A68" s="548" t="s">
        <v>418</v>
      </c>
      <c r="B68" s="38" t="s">
        <v>395</v>
      </c>
      <c r="C68" s="546"/>
      <c r="D68" s="546">
        <v>0</v>
      </c>
      <c r="E68" s="554"/>
      <c r="F68" s="523"/>
    </row>
    <row r="69" spans="1:6" ht="31.5" hidden="1" x14ac:dyDescent="0.25">
      <c r="A69" s="548" t="s">
        <v>419</v>
      </c>
      <c r="B69" s="38" t="s">
        <v>395</v>
      </c>
      <c r="C69" s="546"/>
      <c r="D69" s="546">
        <v>0</v>
      </c>
      <c r="E69" s="554"/>
      <c r="F69" s="523"/>
    </row>
    <row r="70" spans="1:6" ht="34.5" customHeight="1" x14ac:dyDescent="0.25">
      <c r="A70" s="799" t="s">
        <v>1146</v>
      </c>
      <c r="B70" s="852"/>
      <c r="C70" s="852"/>
      <c r="D70" s="853"/>
      <c r="E70" s="854"/>
      <c r="F70" s="550">
        <f>SUM(E74+E75+E76+E77+E78+E79+E80+E81+E82+E84+E85+E86+E87+E88+E89+E93+E94+E95+E97+E99+E98+E101+E102+E103+E105+E106+E108+E109+E110+E111+E112+E114+E122+E124+E126+E128+E115+E116+E120)/41</f>
        <v>85.191136780006715</v>
      </c>
    </row>
    <row r="71" spans="1:6" x14ac:dyDescent="0.25">
      <c r="A71" s="855" t="s">
        <v>420</v>
      </c>
      <c r="B71" s="856"/>
      <c r="C71" s="856"/>
      <c r="D71" s="803"/>
      <c r="E71" s="804"/>
      <c r="F71" s="555"/>
    </row>
    <row r="72" spans="1:6" x14ac:dyDescent="0.25">
      <c r="A72" s="818" t="s">
        <v>421</v>
      </c>
      <c r="B72" s="819"/>
      <c r="C72" s="819"/>
      <c r="D72" s="819"/>
      <c r="E72" s="916"/>
      <c r="F72" s="523"/>
    </row>
    <row r="73" spans="1:6" x14ac:dyDescent="0.25">
      <c r="A73" s="857" t="s">
        <v>422</v>
      </c>
      <c r="B73" s="858"/>
      <c r="C73" s="858"/>
      <c r="D73" s="858"/>
      <c r="E73" s="859"/>
      <c r="F73" s="523"/>
    </row>
    <row r="74" spans="1:6" x14ac:dyDescent="0.25">
      <c r="A74" s="355" t="s">
        <v>423</v>
      </c>
      <c r="B74" s="346" t="s">
        <v>424</v>
      </c>
      <c r="C74" s="346">
        <v>5066</v>
      </c>
      <c r="D74" s="356">
        <v>4890</v>
      </c>
      <c r="E74" s="356">
        <f>SUM(D74/C74*100)</f>
        <v>96.525858665613896</v>
      </c>
      <c r="F74" s="556"/>
    </row>
    <row r="75" spans="1:6" x14ac:dyDescent="0.25">
      <c r="A75" s="355" t="s">
        <v>425</v>
      </c>
      <c r="B75" s="346" t="s">
        <v>424</v>
      </c>
      <c r="C75" s="357">
        <v>2261</v>
      </c>
      <c r="D75" s="356">
        <v>2142</v>
      </c>
      <c r="E75" s="356">
        <f t="shared" ref="E75:E89" si="2">SUM(D75/C75*100)</f>
        <v>94.73684210526315</v>
      </c>
      <c r="F75" s="556"/>
    </row>
    <row r="76" spans="1:6" x14ac:dyDescent="0.25">
      <c r="A76" s="355" t="s">
        <v>426</v>
      </c>
      <c r="B76" s="346" t="s">
        <v>424</v>
      </c>
      <c r="C76" s="357">
        <v>4910</v>
      </c>
      <c r="D76" s="356">
        <v>4700</v>
      </c>
      <c r="E76" s="356">
        <f t="shared" si="2"/>
        <v>95.723014256619138</v>
      </c>
      <c r="F76" s="556"/>
    </row>
    <row r="77" spans="1:6" x14ac:dyDescent="0.25">
      <c r="A77" s="355" t="s">
        <v>427</v>
      </c>
      <c r="B77" s="346" t="s">
        <v>424</v>
      </c>
      <c r="C77" s="358">
        <v>3177</v>
      </c>
      <c r="D77" s="356">
        <v>3115</v>
      </c>
      <c r="E77" s="356">
        <f t="shared" si="2"/>
        <v>98.048473402581052</v>
      </c>
      <c r="F77" s="556"/>
    </row>
    <row r="78" spans="1:6" x14ac:dyDescent="0.25">
      <c r="A78" s="355" t="s">
        <v>428</v>
      </c>
      <c r="B78" s="346" t="s">
        <v>424</v>
      </c>
      <c r="C78" s="346">
        <v>100</v>
      </c>
      <c r="D78" s="356">
        <v>32</v>
      </c>
      <c r="E78" s="356">
        <f t="shared" si="2"/>
        <v>32</v>
      </c>
      <c r="F78" s="556"/>
    </row>
    <row r="79" spans="1:6" x14ac:dyDescent="0.25">
      <c r="A79" s="355" t="s">
        <v>429</v>
      </c>
      <c r="B79" s="346" t="s">
        <v>424</v>
      </c>
      <c r="C79" s="346">
        <v>10</v>
      </c>
      <c r="D79" s="359">
        <v>10</v>
      </c>
      <c r="E79" s="356">
        <f t="shared" si="2"/>
        <v>100</v>
      </c>
      <c r="F79" s="556"/>
    </row>
    <row r="80" spans="1:6" x14ac:dyDescent="0.25">
      <c r="A80" s="355" t="s">
        <v>430</v>
      </c>
      <c r="B80" s="346" t="s">
        <v>424</v>
      </c>
      <c r="C80" s="357">
        <v>1000</v>
      </c>
      <c r="D80" s="356">
        <v>792</v>
      </c>
      <c r="E80" s="356">
        <f t="shared" si="2"/>
        <v>79.2</v>
      </c>
      <c r="F80" s="556"/>
    </row>
    <row r="81" spans="1:6" x14ac:dyDescent="0.25">
      <c r="A81" s="355" t="s">
        <v>431</v>
      </c>
      <c r="B81" s="346" t="s">
        <v>424</v>
      </c>
      <c r="C81" s="357">
        <v>60</v>
      </c>
      <c r="D81" s="356">
        <v>0</v>
      </c>
      <c r="E81" s="356">
        <f t="shared" si="2"/>
        <v>0</v>
      </c>
      <c r="F81" s="556"/>
    </row>
    <row r="82" spans="1:6" x14ac:dyDescent="0.25">
      <c r="A82" s="355" t="s">
        <v>432</v>
      </c>
      <c r="B82" s="346" t="s">
        <v>424</v>
      </c>
      <c r="C82" s="357">
        <v>950</v>
      </c>
      <c r="D82" s="356">
        <v>1304</v>
      </c>
      <c r="E82" s="356">
        <v>100</v>
      </c>
      <c r="F82" s="556"/>
    </row>
    <row r="83" spans="1:6" x14ac:dyDescent="0.25">
      <c r="A83" s="860" t="s">
        <v>433</v>
      </c>
      <c r="B83" s="861"/>
      <c r="C83" s="861"/>
      <c r="D83" s="861"/>
      <c r="E83" s="862"/>
      <c r="F83" s="556"/>
    </row>
    <row r="84" spans="1:6" x14ac:dyDescent="0.25">
      <c r="A84" s="355" t="s">
        <v>434</v>
      </c>
      <c r="B84" s="346" t="s">
        <v>764</v>
      </c>
      <c r="C84" s="346">
        <v>1294</v>
      </c>
      <c r="D84" s="360">
        <v>997.2</v>
      </c>
      <c r="E84" s="356">
        <f>SUM(D84/C84*100)</f>
        <v>77.063369397217926</v>
      </c>
      <c r="F84" s="556"/>
    </row>
    <row r="85" spans="1:6" x14ac:dyDescent="0.25">
      <c r="A85" s="355" t="s">
        <v>436</v>
      </c>
      <c r="B85" s="346" t="s">
        <v>764</v>
      </c>
      <c r="C85" s="346">
        <v>64</v>
      </c>
      <c r="D85" s="361">
        <v>9.09</v>
      </c>
      <c r="E85" s="356">
        <f t="shared" si="2"/>
        <v>14.203125</v>
      </c>
      <c r="F85" s="556"/>
    </row>
    <row r="86" spans="1:6" x14ac:dyDescent="0.25">
      <c r="A86" s="355" t="s">
        <v>437</v>
      </c>
      <c r="B86" s="346" t="s">
        <v>764</v>
      </c>
      <c r="C86" s="357">
        <v>4319.7</v>
      </c>
      <c r="D86" s="361">
        <v>3859</v>
      </c>
      <c r="E86" s="356">
        <f t="shared" si="2"/>
        <v>89.334907516725707</v>
      </c>
      <c r="F86" s="556"/>
    </row>
    <row r="87" spans="1:6" x14ac:dyDescent="0.25">
      <c r="A87" s="355" t="s">
        <v>438</v>
      </c>
      <c r="B87" s="346" t="s">
        <v>764</v>
      </c>
      <c r="C87" s="357">
        <v>3550</v>
      </c>
      <c r="D87" s="362">
        <v>3224.4</v>
      </c>
      <c r="E87" s="356">
        <f t="shared" si="2"/>
        <v>90.828169014084509</v>
      </c>
      <c r="F87" s="556"/>
    </row>
    <row r="88" spans="1:6" x14ac:dyDescent="0.25">
      <c r="A88" s="355" t="s">
        <v>439</v>
      </c>
      <c r="B88" s="346" t="s">
        <v>440</v>
      </c>
      <c r="C88" s="361">
        <f>C86*1000/C75</f>
        <v>1910.5263157894738</v>
      </c>
      <c r="D88" s="361">
        <f>D86*1000/D75</f>
        <v>1801.5873015873017</v>
      </c>
      <c r="E88" s="356">
        <f t="shared" si="2"/>
        <v>94.297957934321573</v>
      </c>
      <c r="F88" s="556"/>
    </row>
    <row r="89" spans="1:6" x14ac:dyDescent="0.25">
      <c r="A89" s="355" t="s">
        <v>441</v>
      </c>
      <c r="B89" s="346" t="s">
        <v>442</v>
      </c>
      <c r="C89" s="346">
        <v>532</v>
      </c>
      <c r="D89" s="363">
        <v>342.8</v>
      </c>
      <c r="E89" s="356">
        <f t="shared" si="2"/>
        <v>64.436090225563916</v>
      </c>
      <c r="F89" s="556"/>
    </row>
    <row r="90" spans="1:6" x14ac:dyDescent="0.25">
      <c r="A90" s="863" t="s">
        <v>221</v>
      </c>
      <c r="B90" s="864"/>
      <c r="C90" s="865"/>
      <c r="D90" s="865"/>
      <c r="E90" s="866"/>
      <c r="F90" s="556"/>
    </row>
    <row r="91" spans="1:6" x14ac:dyDescent="0.25">
      <c r="A91" s="867" t="s">
        <v>443</v>
      </c>
      <c r="B91" s="868"/>
      <c r="C91" s="868"/>
      <c r="D91" s="868"/>
      <c r="E91" s="869"/>
      <c r="F91" s="556"/>
    </row>
    <row r="92" spans="1:6" x14ac:dyDescent="0.25">
      <c r="A92" s="867" t="s">
        <v>444</v>
      </c>
      <c r="B92" s="868"/>
      <c r="C92" s="868"/>
      <c r="D92" s="868"/>
      <c r="E92" s="869"/>
      <c r="F92" s="556"/>
    </row>
    <row r="93" spans="1:6" x14ac:dyDescent="0.25">
      <c r="A93" s="34" t="s">
        <v>445</v>
      </c>
      <c r="B93" s="413" t="s">
        <v>446</v>
      </c>
      <c r="C93" s="346">
        <v>35.82</v>
      </c>
      <c r="D93" s="346">
        <v>37.200000000000003</v>
      </c>
      <c r="E93" s="557">
        <v>100</v>
      </c>
      <c r="F93" s="556"/>
    </row>
    <row r="94" spans="1:6" x14ac:dyDescent="0.25">
      <c r="A94" s="34" t="s">
        <v>447</v>
      </c>
      <c r="B94" s="413" t="s">
        <v>446</v>
      </c>
      <c r="C94" s="346">
        <v>13.5</v>
      </c>
      <c r="D94" s="361">
        <v>13.1</v>
      </c>
      <c r="E94" s="557">
        <f t="shared" ref="E94" si="3">SUM(D94/C94*100)</f>
        <v>97.037037037037038</v>
      </c>
      <c r="F94" s="556"/>
    </row>
    <row r="95" spans="1:6" x14ac:dyDescent="0.25">
      <c r="A95" s="34" t="s">
        <v>448</v>
      </c>
      <c r="B95" s="413" t="s">
        <v>446</v>
      </c>
      <c r="C95" s="346">
        <v>4.72</v>
      </c>
      <c r="D95" s="361">
        <v>5.0999999999999996</v>
      </c>
      <c r="E95" s="557">
        <v>100</v>
      </c>
      <c r="F95" s="556"/>
    </row>
    <row r="96" spans="1:6" x14ac:dyDescent="0.25">
      <c r="A96" s="870" t="s">
        <v>449</v>
      </c>
      <c r="B96" s="870"/>
      <c r="C96" s="870"/>
      <c r="D96" s="870"/>
      <c r="E96" s="870"/>
      <c r="F96" s="556"/>
    </row>
    <row r="97" spans="1:6" x14ac:dyDescent="0.25">
      <c r="A97" s="34" t="s">
        <v>445</v>
      </c>
      <c r="B97" s="413" t="s">
        <v>450</v>
      </c>
      <c r="C97" s="346">
        <v>1810</v>
      </c>
      <c r="D97" s="345">
        <v>3121.5</v>
      </c>
      <c r="E97" s="557">
        <v>100</v>
      </c>
      <c r="F97" s="556"/>
    </row>
    <row r="98" spans="1:6" x14ac:dyDescent="0.25">
      <c r="A98" s="34" t="s">
        <v>447</v>
      </c>
      <c r="B98" s="413" t="s">
        <v>450</v>
      </c>
      <c r="C98" s="346">
        <v>1585</v>
      </c>
      <c r="D98" s="345">
        <v>2988</v>
      </c>
      <c r="E98" s="557">
        <v>100</v>
      </c>
      <c r="F98" s="556"/>
    </row>
    <row r="99" spans="1:6" x14ac:dyDescent="0.25">
      <c r="A99" s="34" t="s">
        <v>448</v>
      </c>
      <c r="B99" s="413" t="s">
        <v>450</v>
      </c>
      <c r="C99" s="346">
        <v>860</v>
      </c>
      <c r="D99" s="345">
        <v>839</v>
      </c>
      <c r="E99" s="557">
        <f t="shared" ref="E99" si="4">SUM(D99/C99*100)</f>
        <v>97.558139534883722</v>
      </c>
      <c r="F99" s="556"/>
    </row>
    <row r="100" spans="1:6" x14ac:dyDescent="0.25">
      <c r="A100" s="870" t="s">
        <v>1136</v>
      </c>
      <c r="B100" s="870"/>
      <c r="C100" s="870"/>
      <c r="D100" s="870"/>
      <c r="E100" s="870"/>
      <c r="F100" s="556"/>
    </row>
    <row r="101" spans="1:6" x14ac:dyDescent="0.25">
      <c r="A101" s="34" t="s">
        <v>445</v>
      </c>
      <c r="B101" s="413" t="s">
        <v>451</v>
      </c>
      <c r="C101" s="558">
        <f>C97/C93</f>
        <v>50.530429927414851</v>
      </c>
      <c r="D101" s="347">
        <f>D97/D93</f>
        <v>83.911290322580641</v>
      </c>
      <c r="E101" s="557">
        <v>100</v>
      </c>
      <c r="F101" s="556"/>
    </row>
    <row r="102" spans="1:6" x14ac:dyDescent="0.25">
      <c r="A102" s="34" t="s">
        <v>447</v>
      </c>
      <c r="B102" s="413" t="s">
        <v>451</v>
      </c>
      <c r="C102" s="558">
        <f>C98/C94</f>
        <v>117.4074074074074</v>
      </c>
      <c r="D102" s="347">
        <f>D98/D94</f>
        <v>228.09160305343511</v>
      </c>
      <c r="E102" s="557">
        <v>100</v>
      </c>
      <c r="F102" s="556"/>
    </row>
    <row r="103" spans="1:6" x14ac:dyDescent="0.25">
      <c r="A103" s="34" t="s">
        <v>448</v>
      </c>
      <c r="B103" s="413" t="s">
        <v>451</v>
      </c>
      <c r="C103" s="558">
        <f>C99/C95/100</f>
        <v>1.8220338983050848</v>
      </c>
      <c r="D103" s="347">
        <f>D99/D95/100</f>
        <v>1.6450980392156864</v>
      </c>
      <c r="E103" s="557">
        <f t="shared" ref="E103" si="5">SUM(D103/C103*100)</f>
        <v>90.289101687186516</v>
      </c>
      <c r="F103" s="556"/>
    </row>
    <row r="104" spans="1:6" x14ac:dyDescent="0.25">
      <c r="A104" s="870" t="s">
        <v>1141</v>
      </c>
      <c r="B104" s="870"/>
      <c r="C104" s="870"/>
      <c r="D104" s="870"/>
      <c r="E104" s="870"/>
      <c r="F104" s="556"/>
    </row>
    <row r="105" spans="1:6" x14ac:dyDescent="0.25">
      <c r="A105" s="394" t="s">
        <v>452</v>
      </c>
      <c r="B105" s="346" t="s">
        <v>764</v>
      </c>
      <c r="C105" s="346">
        <v>13507</v>
      </c>
      <c r="D105" s="349">
        <v>13661</v>
      </c>
      <c r="E105" s="557">
        <v>100</v>
      </c>
      <c r="F105" s="556"/>
    </row>
    <row r="106" spans="1:6" x14ac:dyDescent="0.25">
      <c r="A106" s="394" t="s">
        <v>453</v>
      </c>
      <c r="B106" s="346" t="s">
        <v>764</v>
      </c>
      <c r="C106" s="348">
        <v>400</v>
      </c>
      <c r="D106" s="345">
        <v>856.1</v>
      </c>
      <c r="E106" s="557">
        <v>100</v>
      </c>
      <c r="F106" s="556"/>
    </row>
    <row r="107" spans="1:6" x14ac:dyDescent="0.25">
      <c r="A107" s="878" t="s">
        <v>454</v>
      </c>
      <c r="B107" s="879"/>
      <c r="C107" s="879"/>
      <c r="D107" s="879"/>
      <c r="E107" s="879"/>
      <c r="F107" s="880"/>
    </row>
    <row r="108" spans="1:6" x14ac:dyDescent="0.25">
      <c r="A108" s="355" t="s">
        <v>455</v>
      </c>
      <c r="B108" s="346" t="s">
        <v>435</v>
      </c>
      <c r="C108" s="350">
        <v>3.92</v>
      </c>
      <c r="D108" s="350">
        <v>3.92</v>
      </c>
      <c r="E108" s="557">
        <f t="shared" ref="E108:E111" si="6">SUM(D108/C108*100)</f>
        <v>100</v>
      </c>
      <c r="F108" s="556"/>
    </row>
    <row r="109" spans="1:6" x14ac:dyDescent="0.25">
      <c r="A109" s="355" t="s">
        <v>456</v>
      </c>
      <c r="B109" s="346" t="s">
        <v>446</v>
      </c>
      <c r="C109" s="354">
        <v>252</v>
      </c>
      <c r="D109" s="351">
        <v>252</v>
      </c>
      <c r="E109" s="557">
        <f t="shared" si="6"/>
        <v>100</v>
      </c>
      <c r="F109" s="556"/>
    </row>
    <row r="110" spans="1:6" x14ac:dyDescent="0.25">
      <c r="A110" s="355" t="s">
        <v>457</v>
      </c>
      <c r="B110" s="346" t="s">
        <v>764</v>
      </c>
      <c r="C110" s="349">
        <v>35.200000000000003</v>
      </c>
      <c r="D110" s="349">
        <v>35.200000000000003</v>
      </c>
      <c r="E110" s="557">
        <v>100</v>
      </c>
      <c r="F110" s="556"/>
    </row>
    <row r="111" spans="1:6" x14ac:dyDescent="0.25">
      <c r="A111" s="355" t="s">
        <v>458</v>
      </c>
      <c r="B111" s="346" t="s">
        <v>446</v>
      </c>
      <c r="C111" s="354">
        <v>283</v>
      </c>
      <c r="D111" s="352">
        <v>277</v>
      </c>
      <c r="E111" s="557">
        <f t="shared" si="6"/>
        <v>97.879858657243815</v>
      </c>
      <c r="F111" s="556"/>
    </row>
    <row r="112" spans="1:6" x14ac:dyDescent="0.25">
      <c r="A112" s="559" t="s">
        <v>459</v>
      </c>
      <c r="B112" s="346" t="s">
        <v>764</v>
      </c>
      <c r="C112" s="354">
        <v>3</v>
      </c>
      <c r="D112" s="352">
        <v>3</v>
      </c>
      <c r="E112" s="557">
        <f>SUM(D112/C112*100)</f>
        <v>100</v>
      </c>
      <c r="F112" s="556"/>
    </row>
    <row r="113" spans="1:9" x14ac:dyDescent="0.25">
      <c r="A113" s="881" t="s">
        <v>460</v>
      </c>
      <c r="B113" s="882"/>
      <c r="C113" s="882"/>
      <c r="D113" s="882"/>
      <c r="E113" s="882"/>
      <c r="F113" s="883"/>
      <c r="G113" s="560"/>
      <c r="H113" s="560"/>
      <c r="I113" s="560"/>
    </row>
    <row r="114" spans="1:9" x14ac:dyDescent="0.25">
      <c r="A114" s="561" t="s">
        <v>461</v>
      </c>
      <c r="B114" s="357" t="s">
        <v>446</v>
      </c>
      <c r="C114" s="357">
        <v>192</v>
      </c>
      <c r="D114" s="357">
        <v>192</v>
      </c>
      <c r="E114" s="557">
        <v>100</v>
      </c>
      <c r="F114" s="556"/>
    </row>
    <row r="115" spans="1:9" x14ac:dyDescent="0.25">
      <c r="A115" s="561" t="s">
        <v>462</v>
      </c>
      <c r="B115" s="357" t="s">
        <v>463</v>
      </c>
      <c r="C115" s="357">
        <v>50</v>
      </c>
      <c r="D115" s="357">
        <v>50</v>
      </c>
      <c r="E115" s="557">
        <f t="shared" ref="E115:E116" si="7">SUM(D115/C115*100)</f>
        <v>100</v>
      </c>
      <c r="F115" s="556"/>
    </row>
    <row r="116" spans="1:9" x14ac:dyDescent="0.25">
      <c r="A116" s="355" t="s">
        <v>464</v>
      </c>
      <c r="B116" s="346" t="s">
        <v>465</v>
      </c>
      <c r="C116" s="354">
        <v>13</v>
      </c>
      <c r="D116" s="359">
        <v>13</v>
      </c>
      <c r="E116" s="557">
        <f t="shared" si="7"/>
        <v>100</v>
      </c>
      <c r="F116" s="556"/>
    </row>
    <row r="117" spans="1:9" x14ac:dyDescent="0.25">
      <c r="A117" s="355" t="s">
        <v>762</v>
      </c>
      <c r="B117" s="346" t="s">
        <v>395</v>
      </c>
      <c r="C117" s="354">
        <v>1</v>
      </c>
      <c r="D117" s="359">
        <v>0</v>
      </c>
      <c r="E117" s="557">
        <v>0</v>
      </c>
      <c r="F117" s="556"/>
    </row>
    <row r="118" spans="1:9" x14ac:dyDescent="0.25">
      <c r="A118" s="355" t="s">
        <v>763</v>
      </c>
      <c r="B118" s="346" t="s">
        <v>764</v>
      </c>
      <c r="C118" s="354">
        <v>300</v>
      </c>
      <c r="D118" s="359">
        <v>0</v>
      </c>
      <c r="E118" s="557">
        <v>0</v>
      </c>
      <c r="F118" s="556"/>
    </row>
    <row r="119" spans="1:9" x14ac:dyDescent="0.25">
      <c r="A119" s="884" t="s">
        <v>466</v>
      </c>
      <c r="B119" s="885"/>
      <c r="C119" s="885"/>
      <c r="D119" s="885"/>
      <c r="E119" s="885"/>
      <c r="F119" s="886"/>
      <c r="G119" s="562"/>
      <c r="H119" s="562"/>
      <c r="I119" s="562"/>
    </row>
    <row r="120" spans="1:9" ht="31.5" x14ac:dyDescent="0.25">
      <c r="A120" s="80" t="s">
        <v>467</v>
      </c>
      <c r="B120" s="563"/>
      <c r="C120" s="353">
        <v>225</v>
      </c>
      <c r="D120" s="563">
        <v>225</v>
      </c>
      <c r="E120" s="557">
        <f t="shared" ref="E120" si="8">SUM(D120/C120*100)</f>
        <v>100</v>
      </c>
      <c r="F120" s="556"/>
      <c r="G120" s="523"/>
      <c r="H120" s="523"/>
      <c r="I120" s="523"/>
    </row>
    <row r="121" spans="1:9" ht="17.25" customHeight="1" x14ac:dyDescent="0.25">
      <c r="A121" s="890" t="s">
        <v>1137</v>
      </c>
      <c r="B121" s="890"/>
      <c r="C121" s="890"/>
      <c r="D121" s="890"/>
      <c r="E121" s="890"/>
      <c r="F121" s="890"/>
      <c r="G121" s="890"/>
      <c r="H121" s="890"/>
      <c r="I121" s="890"/>
    </row>
    <row r="122" spans="1:9" x14ac:dyDescent="0.25">
      <c r="A122" s="564" t="s">
        <v>468</v>
      </c>
      <c r="B122" s="346" t="s">
        <v>764</v>
      </c>
      <c r="C122" s="346">
        <v>770</v>
      </c>
      <c r="D122" s="363">
        <v>840.5</v>
      </c>
      <c r="E122" s="557">
        <v>100</v>
      </c>
      <c r="F122" s="556"/>
      <c r="G122" s="523"/>
      <c r="H122" s="523"/>
      <c r="I122" s="523"/>
    </row>
    <row r="123" spans="1:9" x14ac:dyDescent="0.25">
      <c r="A123" s="881" t="s">
        <v>1138</v>
      </c>
      <c r="B123" s="882"/>
      <c r="C123" s="882"/>
      <c r="D123" s="882"/>
      <c r="E123" s="882"/>
      <c r="F123" s="883"/>
      <c r="G123" s="565"/>
      <c r="H123" s="565"/>
      <c r="I123" s="565"/>
    </row>
    <row r="124" spans="1:9" ht="31.5" x14ac:dyDescent="0.25">
      <c r="A124" s="564" t="s">
        <v>469</v>
      </c>
      <c r="B124" s="346" t="s">
        <v>764</v>
      </c>
      <c r="C124" s="346">
        <v>1709</v>
      </c>
      <c r="D124" s="363">
        <v>1430</v>
      </c>
      <c r="E124" s="557">
        <f t="shared" ref="E124" si="9">SUM(D124/C124*100)</f>
        <v>83.674663545933299</v>
      </c>
      <c r="F124" s="566"/>
    </row>
    <row r="125" spans="1:9" x14ac:dyDescent="0.25">
      <c r="A125" s="881" t="s">
        <v>1139</v>
      </c>
      <c r="B125" s="882"/>
      <c r="C125" s="882"/>
      <c r="D125" s="882"/>
      <c r="E125" s="882"/>
      <c r="F125" s="883"/>
      <c r="G125" s="567"/>
      <c r="H125" s="567"/>
      <c r="I125" s="567"/>
    </row>
    <row r="126" spans="1:9" x14ac:dyDescent="0.25">
      <c r="A126" s="564" t="s">
        <v>470</v>
      </c>
      <c r="B126" s="346" t="s">
        <v>764</v>
      </c>
      <c r="C126" s="346">
        <v>78.5</v>
      </c>
      <c r="D126" s="363">
        <v>78</v>
      </c>
      <c r="E126" s="557">
        <v>100</v>
      </c>
      <c r="F126" s="568"/>
    </row>
    <row r="127" spans="1:9" x14ac:dyDescent="0.25">
      <c r="A127" s="871" t="s">
        <v>1140</v>
      </c>
      <c r="B127" s="872"/>
      <c r="C127" s="872"/>
      <c r="D127" s="872"/>
      <c r="E127" s="872"/>
      <c r="F127" s="873"/>
    </row>
    <row r="128" spans="1:9" ht="31.5" x14ac:dyDescent="0.25">
      <c r="A128" s="569" t="s">
        <v>471</v>
      </c>
      <c r="B128" s="346" t="s">
        <v>764</v>
      </c>
      <c r="C128" s="346">
        <v>78</v>
      </c>
      <c r="D128" s="354">
        <v>78.400000000000006</v>
      </c>
      <c r="E128" s="557">
        <v>100</v>
      </c>
      <c r="F128" s="566"/>
    </row>
    <row r="129" spans="1:6" ht="30" customHeight="1" x14ac:dyDescent="0.25">
      <c r="A129" s="874" t="s">
        <v>1147</v>
      </c>
      <c r="B129" s="875"/>
      <c r="C129" s="875"/>
      <c r="D129" s="875"/>
      <c r="E129" s="876"/>
      <c r="F129" s="544">
        <f>SUM(E133+E134+E136+E137+E138+E141+E142+E144+E145+E147+E148)/11</f>
        <v>87.831161616161623</v>
      </c>
    </row>
    <row r="130" spans="1:6" ht="33.75" customHeight="1" x14ac:dyDescent="0.25">
      <c r="A130" s="835" t="s">
        <v>775</v>
      </c>
      <c r="B130" s="836"/>
      <c r="C130" s="836"/>
      <c r="D130" s="836"/>
      <c r="E130" s="877"/>
      <c r="F130" s="570"/>
    </row>
    <row r="131" spans="1:6" x14ac:dyDescent="0.25">
      <c r="A131" s="823" t="s">
        <v>472</v>
      </c>
      <c r="B131" s="824"/>
      <c r="C131" s="824"/>
      <c r="D131" s="824"/>
      <c r="E131" s="825"/>
      <c r="F131" s="571"/>
    </row>
    <row r="132" spans="1:6" x14ac:dyDescent="0.25">
      <c r="A132" s="823" t="s">
        <v>473</v>
      </c>
      <c r="B132" s="824"/>
      <c r="C132" s="824"/>
      <c r="D132" s="824"/>
      <c r="E132" s="825"/>
      <c r="F132" s="571"/>
    </row>
    <row r="133" spans="1:6" ht="31.5" x14ac:dyDescent="0.25">
      <c r="A133" s="572" t="s">
        <v>474</v>
      </c>
      <c r="B133" s="573" t="s">
        <v>395</v>
      </c>
      <c r="C133" s="574">
        <v>7</v>
      </c>
      <c r="D133" s="462">
        <v>9</v>
      </c>
      <c r="E133" s="575">
        <v>100</v>
      </c>
      <c r="F133" s="556"/>
    </row>
    <row r="134" spans="1:6" ht="31.5" x14ac:dyDescent="0.25">
      <c r="A134" s="576" t="s">
        <v>475</v>
      </c>
      <c r="B134" s="573" t="s">
        <v>395</v>
      </c>
      <c r="C134" s="574">
        <v>4</v>
      </c>
      <c r="D134" s="462">
        <v>7</v>
      </c>
      <c r="E134" s="577">
        <v>100</v>
      </c>
      <c r="F134" s="556"/>
    </row>
    <row r="135" spans="1:6" x14ac:dyDescent="0.25">
      <c r="A135" s="826" t="s">
        <v>476</v>
      </c>
      <c r="B135" s="827"/>
      <c r="C135" s="827"/>
      <c r="D135" s="827"/>
      <c r="E135" s="827"/>
      <c r="F135" s="828"/>
    </row>
    <row r="136" spans="1:6" x14ac:dyDescent="0.25">
      <c r="A136" s="572" t="s">
        <v>477</v>
      </c>
      <c r="B136" s="573" t="s">
        <v>478</v>
      </c>
      <c r="C136" s="574">
        <v>1800</v>
      </c>
      <c r="D136" s="462">
        <v>1359.35</v>
      </c>
      <c r="E136" s="557">
        <f>SUM(D136/C136*100)</f>
        <v>75.519444444444446</v>
      </c>
      <c r="F136" s="556"/>
    </row>
    <row r="137" spans="1:6" ht="31.5" x14ac:dyDescent="0.25">
      <c r="A137" s="576" t="s">
        <v>1171</v>
      </c>
      <c r="B137" s="573" t="s">
        <v>479</v>
      </c>
      <c r="C137" s="574">
        <v>1500</v>
      </c>
      <c r="D137" s="462">
        <v>1359.35</v>
      </c>
      <c r="E137" s="557">
        <f>SUM(D137/C137*100)</f>
        <v>90.623333333333321</v>
      </c>
      <c r="F137" s="556"/>
    </row>
    <row r="138" spans="1:6" ht="18.75" customHeight="1" x14ac:dyDescent="0.25">
      <c r="A138" s="576" t="s">
        <v>480</v>
      </c>
      <c r="B138" s="573" t="s">
        <v>395</v>
      </c>
      <c r="C138" s="574">
        <v>10</v>
      </c>
      <c r="D138" s="462">
        <v>16</v>
      </c>
      <c r="E138" s="557">
        <v>100</v>
      </c>
      <c r="F138" s="556"/>
    </row>
    <row r="139" spans="1:6" x14ac:dyDescent="0.25">
      <c r="A139" s="829" t="s">
        <v>481</v>
      </c>
      <c r="B139" s="830"/>
      <c r="C139" s="830"/>
      <c r="D139" s="830"/>
      <c r="E139" s="831"/>
      <c r="F139" s="578"/>
    </row>
    <row r="140" spans="1:6" x14ac:dyDescent="0.25">
      <c r="A140" s="829" t="s">
        <v>482</v>
      </c>
      <c r="B140" s="830"/>
      <c r="C140" s="830"/>
      <c r="D140" s="830"/>
      <c r="E140" s="831"/>
      <c r="F140" s="578"/>
    </row>
    <row r="141" spans="1:6" ht="31.5" x14ac:dyDescent="0.25">
      <c r="A141" s="579" t="s">
        <v>483</v>
      </c>
      <c r="B141" s="563" t="s">
        <v>395</v>
      </c>
      <c r="C141" s="580">
        <v>16</v>
      </c>
      <c r="D141" s="580">
        <v>20</v>
      </c>
      <c r="E141" s="557">
        <v>100</v>
      </c>
      <c r="F141" s="578"/>
    </row>
    <row r="142" spans="1:6" ht="31.5" x14ac:dyDescent="0.25">
      <c r="A142" s="579" t="s">
        <v>1169</v>
      </c>
      <c r="B142" s="563" t="s">
        <v>395</v>
      </c>
      <c r="C142" s="580">
        <v>5</v>
      </c>
      <c r="D142" s="580">
        <v>7</v>
      </c>
      <c r="E142" s="580">
        <v>100</v>
      </c>
      <c r="F142" s="578"/>
    </row>
    <row r="143" spans="1:6" x14ac:dyDescent="0.25">
      <c r="A143" s="832" t="s">
        <v>484</v>
      </c>
      <c r="B143" s="832"/>
      <c r="C143" s="832"/>
      <c r="D143" s="832"/>
      <c r="E143" s="832"/>
      <c r="F143" s="581"/>
    </row>
    <row r="144" spans="1:6" ht="31.5" x14ac:dyDescent="0.25">
      <c r="A144" s="582" t="s">
        <v>485</v>
      </c>
      <c r="B144" s="563" t="s">
        <v>478</v>
      </c>
      <c r="C144" s="563">
        <v>3600</v>
      </c>
      <c r="D144" s="563">
        <v>4276</v>
      </c>
      <c r="E144" s="557">
        <v>100</v>
      </c>
      <c r="F144" s="556"/>
    </row>
    <row r="145" spans="1:6" ht="31.5" x14ac:dyDescent="0.25">
      <c r="A145" s="582" t="s">
        <v>1170</v>
      </c>
      <c r="B145" s="563" t="s">
        <v>478</v>
      </c>
      <c r="C145" s="563">
        <v>2500</v>
      </c>
      <c r="D145" s="563">
        <v>2560</v>
      </c>
      <c r="E145" s="557">
        <v>100</v>
      </c>
      <c r="F145" s="556"/>
    </row>
    <row r="146" spans="1:6" x14ac:dyDescent="0.25">
      <c r="A146" s="826" t="s">
        <v>486</v>
      </c>
      <c r="B146" s="827"/>
      <c r="C146" s="827"/>
      <c r="D146" s="827"/>
      <c r="E146" s="828"/>
      <c r="F146" s="556"/>
    </row>
    <row r="147" spans="1:6" ht="47.25" x14ac:dyDescent="0.25">
      <c r="A147" s="582" t="s">
        <v>487</v>
      </c>
      <c r="B147" s="563" t="s">
        <v>395</v>
      </c>
      <c r="C147" s="563">
        <v>0</v>
      </c>
      <c r="D147" s="563">
        <v>0</v>
      </c>
      <c r="E147" s="563">
        <v>0</v>
      </c>
      <c r="F147" s="556"/>
    </row>
    <row r="148" spans="1:6" ht="31.5" x14ac:dyDescent="0.25">
      <c r="A148" s="576" t="s">
        <v>488</v>
      </c>
      <c r="B148" s="563" t="s">
        <v>395</v>
      </c>
      <c r="C148" s="563">
        <v>2</v>
      </c>
      <c r="D148" s="563">
        <v>3</v>
      </c>
      <c r="E148" s="563">
        <v>100</v>
      </c>
      <c r="F148" s="556"/>
    </row>
    <row r="149" spans="1:6" ht="33" customHeight="1" x14ac:dyDescent="0.25">
      <c r="A149" s="761" t="s">
        <v>1148</v>
      </c>
      <c r="B149" s="833"/>
      <c r="C149" s="833"/>
      <c r="D149" s="833"/>
      <c r="E149" s="834"/>
      <c r="F149" s="544">
        <f>SUM(E151+E152+E153+E154+E155+E156+E157+E158+E159+E161+E162+E163)/12</f>
        <v>89.879531449760293</v>
      </c>
    </row>
    <row r="150" spans="1:6" ht="30.75" customHeight="1" x14ac:dyDescent="0.25">
      <c r="A150" s="835" t="s">
        <v>489</v>
      </c>
      <c r="B150" s="836"/>
      <c r="C150" s="836"/>
      <c r="D150" s="836"/>
      <c r="E150" s="836"/>
      <c r="F150" s="782"/>
    </row>
    <row r="151" spans="1:6" ht="19.5" customHeight="1" x14ac:dyDescent="0.25">
      <c r="A151" s="583" t="s">
        <v>490</v>
      </c>
      <c r="B151" s="584" t="s">
        <v>395</v>
      </c>
      <c r="C151" s="463">
        <v>566</v>
      </c>
      <c r="D151" s="585">
        <v>501</v>
      </c>
      <c r="E151" s="557">
        <f t="shared" ref="E151:E158" si="10">SUM(D151/C151*100)</f>
        <v>88.515901060070661</v>
      </c>
      <c r="F151" s="556"/>
    </row>
    <row r="152" spans="1:6" ht="30.75" customHeight="1" x14ac:dyDescent="0.25">
      <c r="A152" s="583" t="s">
        <v>491</v>
      </c>
      <c r="B152" s="267" t="s">
        <v>802</v>
      </c>
      <c r="C152" s="586">
        <v>779.7</v>
      </c>
      <c r="D152" s="585">
        <v>780</v>
      </c>
      <c r="E152" s="557">
        <f t="shared" si="10"/>
        <v>100.03847633705271</v>
      </c>
      <c r="F152" s="556"/>
    </row>
    <row r="153" spans="1:6" ht="31.5" x14ac:dyDescent="0.25">
      <c r="A153" s="583" t="s">
        <v>492</v>
      </c>
      <c r="B153" s="267" t="s">
        <v>802</v>
      </c>
      <c r="C153" s="586">
        <v>622</v>
      </c>
      <c r="D153" s="585">
        <v>760.45</v>
      </c>
      <c r="E153" s="557">
        <v>100</v>
      </c>
      <c r="F153" s="556"/>
    </row>
    <row r="154" spans="1:6" ht="31.5" x14ac:dyDescent="0.25">
      <c r="A154" s="583" t="s">
        <v>493</v>
      </c>
      <c r="B154" s="267" t="s">
        <v>802</v>
      </c>
      <c r="C154" s="586">
        <v>11357</v>
      </c>
      <c r="D154" s="512">
        <v>11701</v>
      </c>
      <c r="E154" s="557">
        <v>100</v>
      </c>
      <c r="F154" s="556"/>
    </row>
    <row r="155" spans="1:6" ht="31.5" x14ac:dyDescent="0.25">
      <c r="A155" s="583" t="s">
        <v>494</v>
      </c>
      <c r="B155" s="267" t="s">
        <v>395</v>
      </c>
      <c r="C155" s="587">
        <v>10</v>
      </c>
      <c r="D155" s="512">
        <v>27</v>
      </c>
      <c r="E155" s="557">
        <v>100</v>
      </c>
      <c r="F155" s="556"/>
    </row>
    <row r="156" spans="1:6" ht="31.5" x14ac:dyDescent="0.25">
      <c r="A156" s="583" t="s">
        <v>803</v>
      </c>
      <c r="B156" s="267" t="s">
        <v>395</v>
      </c>
      <c r="C156" s="587">
        <v>10</v>
      </c>
      <c r="D156" s="512">
        <v>9</v>
      </c>
      <c r="E156" s="557">
        <f t="shared" si="10"/>
        <v>90</v>
      </c>
      <c r="F156" s="556"/>
    </row>
    <row r="157" spans="1:6" ht="31.5" x14ac:dyDescent="0.25">
      <c r="A157" s="583" t="s">
        <v>804</v>
      </c>
      <c r="B157" s="267" t="s">
        <v>395</v>
      </c>
      <c r="C157" s="587">
        <v>415</v>
      </c>
      <c r="D157" s="512">
        <v>500</v>
      </c>
      <c r="E157" s="557">
        <v>100</v>
      </c>
      <c r="F157" s="556"/>
    </row>
    <row r="158" spans="1:6" ht="31.5" x14ac:dyDescent="0.25">
      <c r="A158" s="583" t="s">
        <v>495</v>
      </c>
      <c r="B158" s="267" t="s">
        <v>386</v>
      </c>
      <c r="C158" s="587">
        <v>22</v>
      </c>
      <c r="D158" s="512">
        <v>22</v>
      </c>
      <c r="E158" s="557">
        <f t="shared" si="10"/>
        <v>100</v>
      </c>
      <c r="F158" s="556"/>
    </row>
    <row r="159" spans="1:6" ht="45.75" customHeight="1" x14ac:dyDescent="0.25">
      <c r="A159" s="583" t="s">
        <v>805</v>
      </c>
      <c r="B159" s="267" t="s">
        <v>386</v>
      </c>
      <c r="C159" s="587">
        <v>27</v>
      </c>
      <c r="D159" s="512">
        <v>28</v>
      </c>
      <c r="E159" s="557">
        <v>100</v>
      </c>
      <c r="F159" s="556"/>
    </row>
    <row r="160" spans="1:6" x14ac:dyDescent="0.25">
      <c r="A160" s="842" t="s">
        <v>144</v>
      </c>
      <c r="B160" s="842"/>
      <c r="C160" s="842"/>
      <c r="D160" s="842"/>
      <c r="E160" s="842"/>
      <c r="F160" s="842"/>
    </row>
    <row r="161" spans="1:6" x14ac:dyDescent="0.25">
      <c r="A161" s="243" t="s">
        <v>806</v>
      </c>
      <c r="B161" s="391" t="s">
        <v>807</v>
      </c>
      <c r="C161" s="391">
        <v>2000</v>
      </c>
      <c r="D161" s="588">
        <v>4200</v>
      </c>
      <c r="E161" s="557">
        <v>100</v>
      </c>
      <c r="F161" s="556"/>
    </row>
    <row r="162" spans="1:6" x14ac:dyDescent="0.25">
      <c r="A162" s="34" t="s">
        <v>808</v>
      </c>
      <c r="B162" s="391" t="s">
        <v>395</v>
      </c>
      <c r="C162" s="391">
        <v>1</v>
      </c>
      <c r="D162" s="588">
        <v>0</v>
      </c>
      <c r="E162" s="391">
        <v>0</v>
      </c>
      <c r="F162" s="556"/>
    </row>
    <row r="163" spans="1:6" x14ac:dyDescent="0.25">
      <c r="A163" s="243" t="s">
        <v>809</v>
      </c>
      <c r="B163" s="391" t="s">
        <v>395</v>
      </c>
      <c r="C163" s="391">
        <v>700</v>
      </c>
      <c r="D163" s="588">
        <v>720</v>
      </c>
      <c r="E163" s="557">
        <v>100</v>
      </c>
      <c r="F163" s="556"/>
    </row>
    <row r="164" spans="1:6" ht="37.5" customHeight="1" x14ac:dyDescent="0.25">
      <c r="A164" s="759" t="s">
        <v>1149</v>
      </c>
      <c r="B164" s="761"/>
      <c r="C164" s="761"/>
      <c r="D164" s="761"/>
      <c r="E164" s="837"/>
      <c r="F164" s="544">
        <f>SUM(E166+E167+E168+E169+E170+E171+E172+E173)/8</f>
        <v>96.75</v>
      </c>
    </row>
    <row r="165" spans="1:6" ht="48.75" customHeight="1" x14ac:dyDescent="0.25">
      <c r="A165" s="786" t="s">
        <v>776</v>
      </c>
      <c r="B165" s="787"/>
      <c r="C165" s="787"/>
      <c r="D165" s="787"/>
      <c r="E165" s="787"/>
      <c r="F165" s="788"/>
    </row>
    <row r="166" spans="1:6" ht="80.25" customHeight="1" x14ac:dyDescent="0.25">
      <c r="A166" s="589" t="s">
        <v>496</v>
      </c>
      <c r="B166" s="463" t="s">
        <v>386</v>
      </c>
      <c r="C166" s="467">
        <v>100</v>
      </c>
      <c r="D166" s="467">
        <v>100</v>
      </c>
      <c r="E166" s="557">
        <f t="shared" ref="E166:E173" si="11">SUM(D166/C166*100)</f>
        <v>100</v>
      </c>
      <c r="F166" s="556"/>
    </row>
    <row r="167" spans="1:6" ht="31.5" x14ac:dyDescent="0.25">
      <c r="A167" s="95" t="s">
        <v>497</v>
      </c>
      <c r="B167" s="467" t="s">
        <v>395</v>
      </c>
      <c r="C167" s="467">
        <v>27</v>
      </c>
      <c r="D167" s="467">
        <v>31</v>
      </c>
      <c r="E167" s="557">
        <v>100</v>
      </c>
      <c r="F167" s="556"/>
    </row>
    <row r="168" spans="1:6" ht="31.5" x14ac:dyDescent="0.25">
      <c r="A168" s="95" t="s">
        <v>498</v>
      </c>
      <c r="B168" s="467" t="s">
        <v>395</v>
      </c>
      <c r="C168" s="467">
        <v>21</v>
      </c>
      <c r="D168" s="467">
        <v>24</v>
      </c>
      <c r="E168" s="557">
        <v>100</v>
      </c>
      <c r="F168" s="556"/>
    </row>
    <row r="169" spans="1:6" x14ac:dyDescent="0.25">
      <c r="A169" s="589" t="s">
        <v>499</v>
      </c>
      <c r="B169" s="467" t="s">
        <v>1165</v>
      </c>
      <c r="C169" s="467">
        <v>80</v>
      </c>
      <c r="D169" s="467">
        <v>64</v>
      </c>
      <c r="E169" s="557">
        <f t="shared" si="11"/>
        <v>80</v>
      </c>
      <c r="F169" s="556"/>
    </row>
    <row r="170" spans="1:6" x14ac:dyDescent="0.25">
      <c r="A170" s="589" t="s">
        <v>500</v>
      </c>
      <c r="B170" s="467" t="s">
        <v>395</v>
      </c>
      <c r="C170" s="467">
        <v>50</v>
      </c>
      <c r="D170" s="467">
        <v>47</v>
      </c>
      <c r="E170" s="557">
        <f t="shared" si="11"/>
        <v>94</v>
      </c>
      <c r="F170" s="556"/>
    </row>
    <row r="171" spans="1:6" x14ac:dyDescent="0.25">
      <c r="A171" s="589" t="s">
        <v>1077</v>
      </c>
      <c r="B171" s="467" t="s">
        <v>1164</v>
      </c>
      <c r="C171" s="467">
        <v>1000</v>
      </c>
      <c r="D171" s="467">
        <v>1100</v>
      </c>
      <c r="E171" s="557">
        <v>100</v>
      </c>
      <c r="F171" s="556"/>
    </row>
    <row r="172" spans="1:6" ht="18.75" customHeight="1" x14ac:dyDescent="0.25">
      <c r="A172" s="590" t="s">
        <v>501</v>
      </c>
      <c r="B172" s="591" t="s">
        <v>417</v>
      </c>
      <c r="C172" s="591">
        <v>65</v>
      </c>
      <c r="D172" s="591">
        <v>72</v>
      </c>
      <c r="E172" s="557">
        <v>100</v>
      </c>
      <c r="F172" s="556"/>
    </row>
    <row r="173" spans="1:6" x14ac:dyDescent="0.25">
      <c r="A173" s="590" t="s">
        <v>502</v>
      </c>
      <c r="B173" s="591" t="s">
        <v>417</v>
      </c>
      <c r="C173" s="591">
        <v>1</v>
      </c>
      <c r="D173" s="591">
        <v>1</v>
      </c>
      <c r="E173" s="557">
        <f t="shared" si="11"/>
        <v>100</v>
      </c>
      <c r="F173" s="556"/>
    </row>
    <row r="174" spans="1:6" ht="28.5" customHeight="1" x14ac:dyDescent="0.25">
      <c r="A174" s="838" t="s">
        <v>1151</v>
      </c>
      <c r="B174" s="839"/>
      <c r="C174" s="840"/>
      <c r="D174" s="840"/>
      <c r="E174" s="841"/>
      <c r="F174" s="544">
        <f>(E176+E177+E178+E179+E180+E181+E182)/7</f>
        <v>100</v>
      </c>
    </row>
    <row r="175" spans="1:6" ht="46.5" customHeight="1" x14ac:dyDescent="0.25">
      <c r="A175" s="783" t="s">
        <v>777</v>
      </c>
      <c r="B175" s="822"/>
      <c r="C175" s="822"/>
      <c r="D175" s="784"/>
      <c r="E175" s="785"/>
      <c r="F175" s="592"/>
    </row>
    <row r="176" spans="1:6" ht="31.5" x14ac:dyDescent="0.25">
      <c r="A176" s="593" t="s">
        <v>503</v>
      </c>
      <c r="B176" s="517" t="s">
        <v>386</v>
      </c>
      <c r="C176" s="513">
        <v>100</v>
      </c>
      <c r="D176" s="563">
        <v>100</v>
      </c>
      <c r="E176" s="519">
        <f>SUM(D176/C176*100)</f>
        <v>100</v>
      </c>
      <c r="F176" s="592"/>
    </row>
    <row r="177" spans="1:6" ht="31.5" x14ac:dyDescent="0.25">
      <c r="A177" s="593" t="s">
        <v>504</v>
      </c>
      <c r="B177" s="517" t="s">
        <v>386</v>
      </c>
      <c r="C177" s="513">
        <v>42</v>
      </c>
      <c r="D177" s="563">
        <v>46.6</v>
      </c>
      <c r="E177" s="519">
        <v>100</v>
      </c>
      <c r="F177" s="592"/>
    </row>
    <row r="178" spans="1:6" ht="31.5" x14ac:dyDescent="0.25">
      <c r="A178" s="593" t="s">
        <v>505</v>
      </c>
      <c r="B178" s="517" t="s">
        <v>386</v>
      </c>
      <c r="C178" s="513">
        <v>55</v>
      </c>
      <c r="D178" s="563">
        <v>57</v>
      </c>
      <c r="E178" s="519">
        <v>100</v>
      </c>
      <c r="F178" s="592"/>
    </row>
    <row r="179" spans="1:6" ht="31.5" x14ac:dyDescent="0.25">
      <c r="A179" s="166" t="s">
        <v>506</v>
      </c>
      <c r="B179" s="517" t="s">
        <v>386</v>
      </c>
      <c r="C179" s="144">
        <v>10</v>
      </c>
      <c r="D179" s="563">
        <v>10</v>
      </c>
      <c r="E179" s="519">
        <f>SUM(D179/C179*100)</f>
        <v>100</v>
      </c>
      <c r="F179" s="592"/>
    </row>
    <row r="180" spans="1:6" ht="18.75" customHeight="1" x14ac:dyDescent="0.25">
      <c r="A180" s="166" t="s">
        <v>507</v>
      </c>
      <c r="B180" s="517" t="s">
        <v>386</v>
      </c>
      <c r="C180" s="144">
        <v>15</v>
      </c>
      <c r="D180" s="563">
        <v>15</v>
      </c>
      <c r="E180" s="519">
        <f t="shared" ref="E180:E182" si="12">SUM(D180/C180*100)</f>
        <v>100</v>
      </c>
      <c r="F180" s="592"/>
    </row>
    <row r="181" spans="1:6" ht="29.25" customHeight="1" x14ac:dyDescent="0.25">
      <c r="A181" s="166" t="s">
        <v>508</v>
      </c>
      <c r="B181" s="517" t="s">
        <v>386</v>
      </c>
      <c r="C181" s="144">
        <v>20</v>
      </c>
      <c r="D181" s="563">
        <v>20</v>
      </c>
      <c r="E181" s="519">
        <f t="shared" si="12"/>
        <v>100</v>
      </c>
      <c r="F181" s="592"/>
    </row>
    <row r="182" spans="1:6" ht="31.5" x14ac:dyDescent="0.25">
      <c r="A182" s="166" t="s">
        <v>509</v>
      </c>
      <c r="B182" s="517" t="s">
        <v>386</v>
      </c>
      <c r="C182" s="144">
        <v>5</v>
      </c>
      <c r="D182" s="563">
        <v>5</v>
      </c>
      <c r="E182" s="519">
        <f t="shared" si="12"/>
        <v>100</v>
      </c>
      <c r="F182" s="592"/>
    </row>
    <row r="183" spans="1:6" x14ac:dyDescent="0.25">
      <c r="A183" s="799" t="s">
        <v>1150</v>
      </c>
      <c r="B183" s="800"/>
      <c r="C183" s="800"/>
      <c r="D183" s="801"/>
      <c r="E183" s="802"/>
      <c r="F183" s="544">
        <f>(E185+E186+E187+E191+E188+E189+E190)/7</f>
        <v>68.571428571428569</v>
      </c>
    </row>
    <row r="184" spans="1:6" ht="43.5" customHeight="1" x14ac:dyDescent="0.25">
      <c r="A184" s="783" t="s">
        <v>778</v>
      </c>
      <c r="B184" s="783"/>
      <c r="C184" s="783"/>
      <c r="D184" s="803"/>
      <c r="E184" s="804"/>
      <c r="F184" s="523"/>
    </row>
    <row r="185" spans="1:6" ht="47.25" x14ac:dyDescent="0.25">
      <c r="A185" s="31" t="s">
        <v>510</v>
      </c>
      <c r="B185" s="462" t="s">
        <v>386</v>
      </c>
      <c r="C185" s="594">
        <v>70</v>
      </c>
      <c r="D185" s="595">
        <v>70</v>
      </c>
      <c r="E185" s="596">
        <v>100</v>
      </c>
      <c r="F185" s="556"/>
    </row>
    <row r="186" spans="1:6" ht="31.5" x14ac:dyDescent="0.25">
      <c r="A186" s="87" t="s">
        <v>511</v>
      </c>
      <c r="B186" s="462" t="s">
        <v>386</v>
      </c>
      <c r="C186" s="200">
        <v>70</v>
      </c>
      <c r="D186" s="391">
        <v>70</v>
      </c>
      <c r="E186" s="596">
        <v>100</v>
      </c>
      <c r="F186" s="556"/>
    </row>
    <row r="187" spans="1:6" ht="31.5" x14ac:dyDescent="0.25">
      <c r="A187" s="87" t="s">
        <v>512</v>
      </c>
      <c r="B187" s="462" t="s">
        <v>395</v>
      </c>
      <c r="C187" s="200">
        <v>5</v>
      </c>
      <c r="D187" s="391">
        <v>1</v>
      </c>
      <c r="E187" s="596">
        <f>SUM(D187/C187*100)</f>
        <v>20</v>
      </c>
      <c r="F187" s="556"/>
    </row>
    <row r="188" spans="1:6" ht="31.5" x14ac:dyDescent="0.25">
      <c r="A188" s="87" t="s">
        <v>513</v>
      </c>
      <c r="B188" s="200" t="s">
        <v>395</v>
      </c>
      <c r="C188" s="200">
        <v>30</v>
      </c>
      <c r="D188" s="391">
        <v>0</v>
      </c>
      <c r="E188" s="596">
        <f t="shared" ref="E188:E189" si="13">SUM(D188/C188*100)</f>
        <v>0</v>
      </c>
      <c r="F188" s="556"/>
    </row>
    <row r="189" spans="1:6" x14ac:dyDescent="0.25">
      <c r="A189" s="87" t="s">
        <v>514</v>
      </c>
      <c r="B189" s="462" t="s">
        <v>395</v>
      </c>
      <c r="C189" s="462">
        <v>5</v>
      </c>
      <c r="D189" s="391">
        <v>3</v>
      </c>
      <c r="E189" s="596">
        <f t="shared" si="13"/>
        <v>60</v>
      </c>
      <c r="F189" s="556"/>
    </row>
    <row r="190" spans="1:6" x14ac:dyDescent="0.25">
      <c r="A190" s="75" t="s">
        <v>515</v>
      </c>
      <c r="B190" s="391" t="s">
        <v>395</v>
      </c>
      <c r="C190" s="391">
        <v>1700</v>
      </c>
      <c r="D190" s="391">
        <v>2769</v>
      </c>
      <c r="E190" s="596">
        <v>100</v>
      </c>
      <c r="F190" s="556"/>
    </row>
    <row r="191" spans="1:6" x14ac:dyDescent="0.25">
      <c r="A191" s="87" t="s">
        <v>516</v>
      </c>
      <c r="B191" s="391" t="s">
        <v>395</v>
      </c>
      <c r="C191" s="391">
        <v>10</v>
      </c>
      <c r="D191" s="391">
        <v>21</v>
      </c>
      <c r="E191" s="596">
        <v>100</v>
      </c>
      <c r="F191" s="556"/>
    </row>
    <row r="192" spans="1:6" x14ac:dyDescent="0.25">
      <c r="A192" s="805" t="s">
        <v>1152</v>
      </c>
      <c r="B192" s="806"/>
      <c r="C192" s="806"/>
      <c r="D192" s="806"/>
      <c r="E192" s="806"/>
      <c r="F192" s="544">
        <f>SUM(E194:E195)/2</f>
        <v>100</v>
      </c>
    </row>
    <row r="193" spans="1:6" ht="17.25" customHeight="1" x14ac:dyDescent="0.25">
      <c r="A193" s="807" t="s">
        <v>517</v>
      </c>
      <c r="B193" s="807"/>
      <c r="C193" s="807"/>
      <c r="D193" s="807"/>
      <c r="E193" s="807"/>
      <c r="F193" s="592"/>
    </row>
    <row r="194" spans="1:6" ht="31.5" x14ac:dyDescent="0.25">
      <c r="A194" s="597" t="s">
        <v>518</v>
      </c>
      <c r="B194" s="598" t="s">
        <v>386</v>
      </c>
      <c r="C194" s="599">
        <v>65</v>
      </c>
      <c r="D194" s="600">
        <v>66.099999999999994</v>
      </c>
      <c r="E194" s="519">
        <v>100</v>
      </c>
      <c r="F194" s="592"/>
    </row>
    <row r="195" spans="1:6" ht="31.5" x14ac:dyDescent="0.25">
      <c r="A195" s="166" t="s">
        <v>519</v>
      </c>
      <c r="B195" s="601" t="s">
        <v>386</v>
      </c>
      <c r="C195" s="144">
        <v>4.4000000000000004</v>
      </c>
      <c r="D195" s="602">
        <v>4.8</v>
      </c>
      <c r="E195" s="603">
        <v>100</v>
      </c>
      <c r="F195" s="604"/>
    </row>
    <row r="196" spans="1:6" hidden="1" x14ac:dyDescent="0.25">
      <c r="A196" s="166" t="s">
        <v>520</v>
      </c>
      <c r="B196" s="144" t="s">
        <v>386</v>
      </c>
      <c r="C196" s="23">
        <v>43.3</v>
      </c>
      <c r="D196" s="602"/>
      <c r="E196" s="605"/>
      <c r="F196" s="606"/>
    </row>
    <row r="197" spans="1:6" ht="38.25" customHeight="1" x14ac:dyDescent="0.25">
      <c r="A197" s="808" t="s">
        <v>1153</v>
      </c>
      <c r="B197" s="809"/>
      <c r="C197" s="809"/>
      <c r="D197" s="809"/>
      <c r="E197" s="810"/>
      <c r="F197" s="607">
        <f>(E199+E200+E201+E202+E203+E204+E205+E206)/8</f>
        <v>83.325000000000003</v>
      </c>
    </row>
    <row r="198" spans="1:6" ht="45.75" customHeight="1" x14ac:dyDescent="0.25">
      <c r="A198" s="811" t="s">
        <v>521</v>
      </c>
      <c r="B198" s="811"/>
      <c r="C198" s="811"/>
      <c r="D198" s="811"/>
      <c r="E198" s="812"/>
      <c r="F198" s="608"/>
    </row>
    <row r="199" spans="1:6" ht="47.25" x14ac:dyDescent="0.25">
      <c r="A199" s="609" t="s">
        <v>522</v>
      </c>
      <c r="B199" s="200" t="s">
        <v>386</v>
      </c>
      <c r="C199" s="610">
        <v>50</v>
      </c>
      <c r="D199" s="611">
        <v>33.299999999999997</v>
      </c>
      <c r="E199" s="557">
        <f>SUM(D199/C199*100)</f>
        <v>66.599999999999994</v>
      </c>
      <c r="F199" s="612"/>
    </row>
    <row r="200" spans="1:6" ht="31.5" x14ac:dyDescent="0.25">
      <c r="A200" s="609" t="s">
        <v>523</v>
      </c>
      <c r="B200" s="200" t="s">
        <v>386</v>
      </c>
      <c r="C200" s="610">
        <v>60</v>
      </c>
      <c r="D200" s="611">
        <v>60</v>
      </c>
      <c r="E200" s="557">
        <f t="shared" ref="E200:E204" si="14">SUM(D200/C200*100)</f>
        <v>100</v>
      </c>
      <c r="F200" s="612"/>
    </row>
    <row r="201" spans="1:6" ht="31.5" x14ac:dyDescent="0.25">
      <c r="A201" s="609" t="s">
        <v>524</v>
      </c>
      <c r="B201" s="200" t="s">
        <v>386</v>
      </c>
      <c r="C201" s="610">
        <v>10</v>
      </c>
      <c r="D201" s="611">
        <v>13.5</v>
      </c>
      <c r="E201" s="557">
        <v>100</v>
      </c>
      <c r="F201" s="612"/>
    </row>
    <row r="202" spans="1:6" ht="31.5" x14ac:dyDescent="0.25">
      <c r="A202" s="609" t="s">
        <v>525</v>
      </c>
      <c r="B202" s="200" t="s">
        <v>386</v>
      </c>
      <c r="C202" s="610">
        <v>40</v>
      </c>
      <c r="D202" s="563">
        <v>85</v>
      </c>
      <c r="E202" s="557">
        <v>100</v>
      </c>
      <c r="F202" s="612"/>
    </row>
    <row r="203" spans="1:6" ht="19.5" customHeight="1" x14ac:dyDescent="0.25">
      <c r="A203" s="609" t="s">
        <v>526</v>
      </c>
      <c r="B203" s="200" t="s">
        <v>386</v>
      </c>
      <c r="C203" s="610">
        <v>35</v>
      </c>
      <c r="D203" s="563">
        <v>64</v>
      </c>
      <c r="E203" s="557">
        <v>100</v>
      </c>
      <c r="F203" s="612"/>
    </row>
    <row r="204" spans="1:6" ht="20.25" customHeight="1" x14ac:dyDescent="0.25">
      <c r="A204" s="609" t="s">
        <v>527</v>
      </c>
      <c r="B204" s="200" t="s">
        <v>386</v>
      </c>
      <c r="C204" s="610">
        <v>15</v>
      </c>
      <c r="D204" s="563">
        <v>0</v>
      </c>
      <c r="E204" s="557">
        <f t="shared" si="14"/>
        <v>0</v>
      </c>
      <c r="F204" s="612"/>
    </row>
    <row r="205" spans="1:6" ht="47.25" x14ac:dyDescent="0.25">
      <c r="A205" s="316" t="s">
        <v>1172</v>
      </c>
      <c r="B205" s="200" t="s">
        <v>386</v>
      </c>
      <c r="C205" s="610">
        <v>60</v>
      </c>
      <c r="D205" s="563">
        <v>92.3</v>
      </c>
      <c r="E205" s="557">
        <v>100</v>
      </c>
      <c r="F205" s="612"/>
    </row>
    <row r="206" spans="1:6" ht="47.25" x14ac:dyDescent="0.25">
      <c r="A206" s="316" t="s">
        <v>1173</v>
      </c>
      <c r="B206" s="200" t="s">
        <v>386</v>
      </c>
      <c r="C206" s="610">
        <v>90</v>
      </c>
      <c r="D206" s="563">
        <v>94.1</v>
      </c>
      <c r="E206" s="557">
        <v>100</v>
      </c>
      <c r="F206" s="612"/>
    </row>
    <row r="207" spans="1:6" ht="36" customHeight="1" x14ac:dyDescent="0.25">
      <c r="A207" s="808" t="s">
        <v>1154</v>
      </c>
      <c r="B207" s="813"/>
      <c r="C207" s="813"/>
      <c r="D207" s="813"/>
      <c r="E207" s="814"/>
      <c r="F207" s="613">
        <f>SUM(E209:E210)/2</f>
        <v>90.4375</v>
      </c>
    </row>
    <row r="208" spans="1:6" ht="40.5" customHeight="1" x14ac:dyDescent="0.25">
      <c r="A208" s="815" t="s">
        <v>528</v>
      </c>
      <c r="B208" s="815"/>
      <c r="C208" s="815"/>
      <c r="D208" s="815"/>
      <c r="E208" s="816"/>
      <c r="F208" s="614"/>
    </row>
    <row r="209" spans="1:6" ht="47.25" x14ac:dyDescent="0.25">
      <c r="A209" s="615" t="s">
        <v>529</v>
      </c>
      <c r="B209" s="463" t="s">
        <v>386</v>
      </c>
      <c r="C209" s="616">
        <v>10</v>
      </c>
      <c r="D209" s="462">
        <v>12</v>
      </c>
      <c r="E209" s="557">
        <v>100</v>
      </c>
      <c r="F209" s="614"/>
    </row>
    <row r="210" spans="1:6" ht="47.25" x14ac:dyDescent="0.25">
      <c r="A210" s="615" t="s">
        <v>530</v>
      </c>
      <c r="B210" s="463" t="s">
        <v>386</v>
      </c>
      <c r="C210" s="616">
        <v>40</v>
      </c>
      <c r="D210" s="462">
        <v>32.35</v>
      </c>
      <c r="E210" s="557">
        <f t="shared" ref="E210" si="15">SUM(D210/C210*100)</f>
        <v>80.875000000000014</v>
      </c>
      <c r="F210" s="614"/>
    </row>
    <row r="211" spans="1:6" ht="47.25" hidden="1" x14ac:dyDescent="0.25">
      <c r="A211" s="31" t="s">
        <v>531</v>
      </c>
      <c r="B211" s="463" t="s">
        <v>386</v>
      </c>
      <c r="C211" s="616">
        <v>9</v>
      </c>
      <c r="D211" s="617"/>
      <c r="E211" s="618"/>
      <c r="F211" s="619"/>
    </row>
    <row r="212" spans="1:6" x14ac:dyDescent="0.25">
      <c r="A212" s="817" t="s">
        <v>1155</v>
      </c>
      <c r="B212" s="817"/>
      <c r="C212" s="817"/>
      <c r="D212" s="817"/>
      <c r="E212" s="817"/>
      <c r="F212" s="607">
        <f>SUM(E215+E217+E218+E219+E221+E222+E223+E225+E227)/9</f>
        <v>95.469755469755469</v>
      </c>
    </row>
    <row r="213" spans="1:6" ht="45" customHeight="1" x14ac:dyDescent="0.25">
      <c r="A213" s="786" t="s">
        <v>532</v>
      </c>
      <c r="B213" s="787"/>
      <c r="C213" s="787"/>
      <c r="D213" s="787"/>
      <c r="E213" s="788"/>
      <c r="F213" s="523"/>
    </row>
    <row r="214" spans="1:6" x14ac:dyDescent="0.25">
      <c r="A214" s="818" t="s">
        <v>533</v>
      </c>
      <c r="B214" s="819"/>
      <c r="C214" s="819"/>
      <c r="D214" s="820"/>
      <c r="E214" s="821"/>
      <c r="F214" s="523"/>
    </row>
    <row r="215" spans="1:6" ht="31.5" x14ac:dyDescent="0.25">
      <c r="A215" s="615" t="s">
        <v>534</v>
      </c>
      <c r="B215" s="620" t="s">
        <v>535</v>
      </c>
      <c r="C215" s="616">
        <v>18.5</v>
      </c>
      <c r="D215" s="621">
        <v>13.6</v>
      </c>
      <c r="E215" s="557">
        <f>SUM(D215/C215)*100</f>
        <v>73.513513513513502</v>
      </c>
      <c r="F215" s="556"/>
    </row>
    <row r="216" spans="1:6" ht="21" customHeight="1" x14ac:dyDescent="0.25">
      <c r="A216" s="795" t="s">
        <v>536</v>
      </c>
      <c r="B216" s="796"/>
      <c r="C216" s="796"/>
      <c r="D216" s="796"/>
      <c r="E216" s="797"/>
      <c r="F216" s="798"/>
    </row>
    <row r="217" spans="1:6" x14ac:dyDescent="0.25">
      <c r="A217" s="622" t="s">
        <v>537</v>
      </c>
      <c r="B217" s="623" t="s">
        <v>535</v>
      </c>
      <c r="C217" s="624">
        <v>4.9000000000000004</v>
      </c>
      <c r="D217" s="621">
        <v>4.2</v>
      </c>
      <c r="E217" s="557">
        <f>SUM(D217/C217)*100</f>
        <v>85.714285714285708</v>
      </c>
      <c r="F217" s="556"/>
    </row>
    <row r="218" spans="1:6" x14ac:dyDescent="0.25">
      <c r="A218" s="625" t="s">
        <v>538</v>
      </c>
      <c r="B218" s="623" t="s">
        <v>535</v>
      </c>
      <c r="C218" s="624">
        <v>3</v>
      </c>
      <c r="D218" s="621">
        <v>2.4</v>
      </c>
      <c r="E218" s="557">
        <v>100</v>
      </c>
      <c r="F218" s="556"/>
    </row>
    <row r="219" spans="1:6" ht="31.5" x14ac:dyDescent="0.25">
      <c r="A219" s="625" t="s">
        <v>539</v>
      </c>
      <c r="B219" s="563" t="s">
        <v>395</v>
      </c>
      <c r="C219" s="563">
        <v>12</v>
      </c>
      <c r="D219" s="563">
        <v>13</v>
      </c>
      <c r="E219" s="557">
        <v>100</v>
      </c>
      <c r="F219" s="556"/>
    </row>
    <row r="220" spans="1:6" x14ac:dyDescent="0.25">
      <c r="A220" s="775" t="s">
        <v>540</v>
      </c>
      <c r="B220" s="776"/>
      <c r="C220" s="776"/>
      <c r="D220" s="776"/>
      <c r="E220" s="781"/>
      <c r="F220" s="782"/>
    </row>
    <row r="221" spans="1:6" ht="47.25" x14ac:dyDescent="0.25">
      <c r="A221" s="626" t="s">
        <v>541</v>
      </c>
      <c r="B221" s="627" t="s">
        <v>386</v>
      </c>
      <c r="C221" s="627">
        <v>1.5</v>
      </c>
      <c r="D221" s="557">
        <v>0.6</v>
      </c>
      <c r="E221" s="557">
        <v>100</v>
      </c>
      <c r="F221" s="556"/>
    </row>
    <row r="222" spans="1:6" ht="47.25" x14ac:dyDescent="0.25">
      <c r="A222" s="626" t="s">
        <v>542</v>
      </c>
      <c r="B222" s="627" t="s">
        <v>386</v>
      </c>
      <c r="C222" s="627">
        <v>2.8</v>
      </c>
      <c r="D222" s="557">
        <v>1.9</v>
      </c>
      <c r="E222" s="557">
        <v>100</v>
      </c>
      <c r="F222" s="556"/>
    </row>
    <row r="223" spans="1:6" ht="47.25" x14ac:dyDescent="0.25">
      <c r="A223" s="626" t="s">
        <v>543</v>
      </c>
      <c r="B223" s="627" t="s">
        <v>386</v>
      </c>
      <c r="C223" s="627">
        <v>23.2</v>
      </c>
      <c r="D223" s="557">
        <v>24</v>
      </c>
      <c r="E223" s="557">
        <v>100</v>
      </c>
      <c r="F223" s="556"/>
    </row>
    <row r="224" spans="1:6" x14ac:dyDescent="0.25">
      <c r="A224" s="775" t="s">
        <v>544</v>
      </c>
      <c r="B224" s="776"/>
      <c r="C224" s="776"/>
      <c r="D224" s="776"/>
      <c r="E224" s="781"/>
      <c r="F224" s="782"/>
    </row>
    <row r="225" spans="1:249" ht="31.5" x14ac:dyDescent="0.25">
      <c r="A225" s="628" t="s">
        <v>545</v>
      </c>
      <c r="B225" s="629" t="s">
        <v>386</v>
      </c>
      <c r="C225" s="629">
        <v>29.3</v>
      </c>
      <c r="D225" s="557">
        <v>34.200000000000003</v>
      </c>
      <c r="E225" s="557">
        <v>100</v>
      </c>
      <c r="F225" s="556"/>
    </row>
    <row r="226" spans="1:249" x14ac:dyDescent="0.25">
      <c r="A226" s="775" t="s">
        <v>546</v>
      </c>
      <c r="B226" s="776"/>
      <c r="C226" s="776"/>
      <c r="D226" s="776"/>
      <c r="E226" s="781"/>
      <c r="F226" s="782"/>
    </row>
    <row r="227" spans="1:249" ht="31.5" x14ac:dyDescent="0.25">
      <c r="A227" s="630" t="s">
        <v>547</v>
      </c>
      <c r="B227" s="631" t="s">
        <v>386</v>
      </c>
      <c r="C227" s="631">
        <v>24.5</v>
      </c>
      <c r="D227" s="596">
        <v>22.3</v>
      </c>
      <c r="E227" s="557">
        <v>100</v>
      </c>
      <c r="F227" s="556"/>
    </row>
    <row r="228" spans="1:249" ht="29.25" customHeight="1" x14ac:dyDescent="0.25">
      <c r="A228" s="780" t="s">
        <v>1156</v>
      </c>
      <c r="B228" s="780"/>
      <c r="C228" s="780"/>
      <c r="D228" s="780"/>
      <c r="E228" s="780"/>
      <c r="F228" s="544">
        <f>(E230+E231+E232+E233+E234+E235+E236)/7</f>
        <v>96.52073732718894</v>
      </c>
    </row>
    <row r="229" spans="1:249" ht="47.25" customHeight="1" x14ac:dyDescent="0.25">
      <c r="A229" s="783" t="s">
        <v>548</v>
      </c>
      <c r="B229" s="783"/>
      <c r="C229" s="783"/>
      <c r="D229" s="784"/>
      <c r="E229" s="785"/>
      <c r="F229" s="523"/>
    </row>
    <row r="230" spans="1:249" ht="27.75" customHeight="1" x14ac:dyDescent="0.25">
      <c r="A230" s="632" t="s">
        <v>549</v>
      </c>
      <c r="B230" s="461" t="s">
        <v>411</v>
      </c>
      <c r="C230" s="462">
        <v>14</v>
      </c>
      <c r="D230" s="462">
        <v>12</v>
      </c>
      <c r="E230" s="557">
        <v>100</v>
      </c>
      <c r="F230" s="523"/>
    </row>
    <row r="231" spans="1:249" ht="31.5" x14ac:dyDescent="0.25">
      <c r="A231" s="633" t="s">
        <v>550</v>
      </c>
      <c r="B231" s="461" t="s">
        <v>411</v>
      </c>
      <c r="C231" s="634">
        <v>25</v>
      </c>
      <c r="D231" s="634">
        <v>31</v>
      </c>
      <c r="E231" s="557">
        <f>C231/D231*100</f>
        <v>80.645161290322577</v>
      </c>
      <c r="F231" s="523"/>
    </row>
    <row r="232" spans="1:249" ht="47.25" x14ac:dyDescent="0.25">
      <c r="A232" s="633" t="s">
        <v>551</v>
      </c>
      <c r="B232" s="461" t="s">
        <v>411</v>
      </c>
      <c r="C232" s="634">
        <v>3</v>
      </c>
      <c r="D232" s="634">
        <v>3</v>
      </c>
      <c r="E232" s="557">
        <f>D232/C232*100</f>
        <v>100</v>
      </c>
      <c r="F232" s="523"/>
    </row>
    <row r="233" spans="1:249" ht="27" customHeight="1" x14ac:dyDescent="0.25">
      <c r="A233" s="632" t="s">
        <v>552</v>
      </c>
      <c r="B233" s="461" t="s">
        <v>395</v>
      </c>
      <c r="C233" s="462">
        <v>3</v>
      </c>
      <c r="D233" s="462">
        <v>1</v>
      </c>
      <c r="E233" s="557">
        <v>100</v>
      </c>
      <c r="F233" s="523"/>
    </row>
    <row r="234" spans="1:249" ht="34.5" customHeight="1" x14ac:dyDescent="0.25">
      <c r="A234" s="635" t="s">
        <v>553</v>
      </c>
      <c r="B234" s="461" t="s">
        <v>411</v>
      </c>
      <c r="C234" s="636">
        <v>25</v>
      </c>
      <c r="D234" s="636">
        <v>86</v>
      </c>
      <c r="E234" s="557">
        <v>100</v>
      </c>
      <c r="F234" s="523"/>
    </row>
    <row r="235" spans="1:249" ht="47.25" x14ac:dyDescent="0.25">
      <c r="A235" s="637" t="s">
        <v>554</v>
      </c>
      <c r="B235" s="638" t="s">
        <v>386</v>
      </c>
      <c r="C235" s="638">
        <v>77</v>
      </c>
      <c r="D235" s="638">
        <v>92</v>
      </c>
      <c r="E235" s="557">
        <v>100</v>
      </c>
      <c r="F235" s="523"/>
    </row>
    <row r="236" spans="1:249" ht="47.25" x14ac:dyDescent="0.25">
      <c r="A236" s="639" t="s">
        <v>555</v>
      </c>
      <c r="B236" s="461" t="s">
        <v>395</v>
      </c>
      <c r="C236" s="462">
        <v>20</v>
      </c>
      <c r="D236" s="462">
        <v>19</v>
      </c>
      <c r="E236" s="557">
        <f>D236/C236*100</f>
        <v>95</v>
      </c>
      <c r="F236" s="523"/>
    </row>
    <row r="237" spans="1:249" hidden="1" x14ac:dyDescent="0.25">
      <c r="A237" s="780" t="s">
        <v>556</v>
      </c>
      <c r="B237" s="780"/>
      <c r="C237" s="780"/>
      <c r="D237" s="780"/>
      <c r="E237" s="780"/>
      <c r="F237" s="640">
        <v>0</v>
      </c>
    </row>
    <row r="238" spans="1:249" hidden="1" x14ac:dyDescent="0.25">
      <c r="A238" s="786" t="s">
        <v>557</v>
      </c>
      <c r="B238" s="787"/>
      <c r="C238" s="787"/>
      <c r="D238" s="787"/>
      <c r="E238" s="788"/>
      <c r="F238" s="641"/>
      <c r="G238" s="642"/>
      <c r="H238" s="642"/>
      <c r="I238" s="642"/>
      <c r="J238" s="642"/>
      <c r="K238" s="642"/>
      <c r="L238" s="642"/>
      <c r="M238" s="642"/>
      <c r="N238" s="642"/>
      <c r="O238" s="642"/>
      <c r="P238" s="642"/>
      <c r="Q238" s="642"/>
      <c r="R238" s="642"/>
      <c r="S238" s="642"/>
      <c r="T238" s="642"/>
      <c r="U238" s="642"/>
      <c r="V238" s="642"/>
      <c r="W238" s="642"/>
      <c r="X238" s="642"/>
      <c r="Y238" s="642"/>
      <c r="Z238" s="642"/>
      <c r="AA238" s="642"/>
      <c r="AB238" s="642"/>
      <c r="AC238" s="642"/>
      <c r="AD238" s="642"/>
      <c r="AE238" s="642"/>
      <c r="AF238" s="642"/>
      <c r="AG238" s="642"/>
      <c r="AH238" s="642"/>
      <c r="AI238" s="642"/>
      <c r="AJ238" s="642"/>
      <c r="AK238" s="642"/>
      <c r="AL238" s="642"/>
      <c r="AM238" s="642"/>
      <c r="AN238" s="642"/>
      <c r="AO238" s="642"/>
      <c r="AP238" s="642"/>
      <c r="AQ238" s="642"/>
      <c r="AR238" s="642"/>
      <c r="AS238" s="642"/>
      <c r="AT238" s="642"/>
      <c r="AU238" s="642"/>
      <c r="AV238" s="642"/>
      <c r="AW238" s="642"/>
      <c r="AX238" s="642"/>
      <c r="AY238" s="642"/>
      <c r="AZ238" s="642"/>
      <c r="BA238" s="642"/>
      <c r="BB238" s="642"/>
      <c r="BC238" s="642"/>
      <c r="BD238" s="642"/>
      <c r="BE238" s="642"/>
      <c r="BF238" s="642"/>
      <c r="BG238" s="642"/>
      <c r="BH238" s="642"/>
      <c r="BI238" s="642"/>
      <c r="BJ238" s="642"/>
      <c r="BK238" s="642"/>
      <c r="BL238" s="642"/>
      <c r="BM238" s="642"/>
      <c r="BN238" s="642"/>
      <c r="BO238" s="642"/>
      <c r="BP238" s="642"/>
      <c r="BQ238" s="642"/>
      <c r="BR238" s="642"/>
      <c r="BS238" s="642"/>
      <c r="BT238" s="642"/>
      <c r="BU238" s="642"/>
      <c r="BV238" s="642"/>
      <c r="BW238" s="642"/>
      <c r="BX238" s="642"/>
      <c r="BY238" s="642"/>
      <c r="BZ238" s="642"/>
      <c r="CA238" s="642"/>
      <c r="CB238" s="642"/>
      <c r="CC238" s="642"/>
      <c r="CD238" s="642"/>
      <c r="CE238" s="642"/>
      <c r="CF238" s="642"/>
      <c r="CG238" s="642"/>
      <c r="CH238" s="642"/>
      <c r="CI238" s="642"/>
      <c r="CJ238" s="642"/>
      <c r="CK238" s="642"/>
      <c r="CL238" s="642"/>
      <c r="CM238" s="642"/>
      <c r="CN238" s="642"/>
      <c r="CO238" s="642"/>
      <c r="CP238" s="642"/>
      <c r="CQ238" s="642"/>
      <c r="CR238" s="642"/>
      <c r="CS238" s="642"/>
      <c r="CT238" s="642"/>
      <c r="CU238" s="642"/>
      <c r="CV238" s="642"/>
      <c r="CW238" s="642"/>
      <c r="CX238" s="642"/>
      <c r="CY238" s="642"/>
      <c r="CZ238" s="642"/>
      <c r="DA238" s="642"/>
      <c r="DB238" s="642"/>
      <c r="DC238" s="642"/>
      <c r="DD238" s="642"/>
      <c r="DE238" s="642"/>
      <c r="DF238" s="642"/>
      <c r="DG238" s="642"/>
      <c r="DH238" s="642"/>
      <c r="DI238" s="642"/>
      <c r="DJ238" s="642"/>
      <c r="DK238" s="642"/>
      <c r="DL238" s="642"/>
      <c r="DM238" s="642"/>
      <c r="DN238" s="642"/>
      <c r="DO238" s="642"/>
      <c r="DP238" s="642"/>
      <c r="DQ238" s="642"/>
      <c r="DR238" s="642"/>
      <c r="DS238" s="642"/>
      <c r="DT238" s="642"/>
      <c r="DU238" s="642"/>
      <c r="DV238" s="642"/>
      <c r="DW238" s="642"/>
      <c r="DX238" s="642"/>
      <c r="DY238" s="642"/>
      <c r="DZ238" s="642"/>
      <c r="EA238" s="642"/>
      <c r="EB238" s="642"/>
      <c r="EC238" s="642"/>
      <c r="ED238" s="642"/>
      <c r="EE238" s="642"/>
      <c r="EF238" s="642"/>
      <c r="EG238" s="642"/>
      <c r="EH238" s="642"/>
      <c r="EI238" s="642"/>
      <c r="EJ238" s="642"/>
      <c r="EK238" s="642"/>
      <c r="EL238" s="642"/>
      <c r="EM238" s="642"/>
      <c r="EN238" s="642"/>
      <c r="EO238" s="642"/>
      <c r="EP238" s="642"/>
      <c r="EQ238" s="642"/>
      <c r="ER238" s="642"/>
      <c r="ES238" s="642"/>
      <c r="ET238" s="642"/>
      <c r="EU238" s="642"/>
      <c r="EV238" s="642"/>
      <c r="EW238" s="642"/>
      <c r="EX238" s="642"/>
      <c r="EY238" s="642"/>
      <c r="EZ238" s="642"/>
      <c r="FA238" s="642"/>
      <c r="FB238" s="642"/>
      <c r="FC238" s="642"/>
      <c r="FD238" s="642"/>
      <c r="FE238" s="642"/>
      <c r="FF238" s="642"/>
      <c r="FG238" s="642"/>
      <c r="FH238" s="642"/>
      <c r="FI238" s="642"/>
      <c r="FJ238" s="642"/>
      <c r="FK238" s="642"/>
      <c r="FL238" s="642"/>
      <c r="FM238" s="642"/>
      <c r="FN238" s="642"/>
      <c r="FO238" s="642"/>
      <c r="FP238" s="642"/>
      <c r="FQ238" s="642"/>
      <c r="FR238" s="642"/>
      <c r="FS238" s="642"/>
      <c r="FT238" s="642"/>
      <c r="FU238" s="642"/>
      <c r="FV238" s="642"/>
      <c r="FW238" s="642"/>
      <c r="FX238" s="642"/>
      <c r="FY238" s="642"/>
      <c r="FZ238" s="642"/>
      <c r="GA238" s="642"/>
      <c r="GB238" s="642"/>
      <c r="GC238" s="642"/>
      <c r="GD238" s="642"/>
      <c r="GE238" s="642"/>
      <c r="GF238" s="642"/>
      <c r="GG238" s="642"/>
      <c r="GH238" s="642"/>
      <c r="GI238" s="642"/>
      <c r="GJ238" s="642"/>
      <c r="GK238" s="642"/>
      <c r="GL238" s="642"/>
      <c r="GM238" s="642"/>
      <c r="GN238" s="642"/>
      <c r="GO238" s="642"/>
      <c r="GP238" s="642"/>
      <c r="GQ238" s="642"/>
      <c r="GR238" s="642"/>
      <c r="GS238" s="642"/>
      <c r="GT238" s="642"/>
      <c r="GU238" s="642"/>
      <c r="GV238" s="642"/>
      <c r="GW238" s="642"/>
      <c r="GX238" s="642"/>
      <c r="GY238" s="642"/>
      <c r="GZ238" s="642"/>
      <c r="HA238" s="642"/>
      <c r="HB238" s="642"/>
      <c r="HC238" s="642"/>
      <c r="HD238" s="642"/>
      <c r="HE238" s="642"/>
      <c r="HF238" s="642"/>
      <c r="HG238" s="642"/>
      <c r="HH238" s="642"/>
      <c r="HI238" s="642"/>
      <c r="HJ238" s="642"/>
      <c r="HK238" s="642"/>
      <c r="HL238" s="642"/>
      <c r="HM238" s="642"/>
      <c r="HN238" s="642"/>
      <c r="HO238" s="642"/>
      <c r="HP238" s="642"/>
      <c r="HQ238" s="642"/>
      <c r="HR238" s="642"/>
      <c r="HS238" s="642"/>
      <c r="HT238" s="642"/>
      <c r="HU238" s="642"/>
      <c r="HV238" s="642"/>
      <c r="HW238" s="642"/>
      <c r="HX238" s="642"/>
      <c r="HY238" s="642"/>
      <c r="HZ238" s="642"/>
      <c r="IA238" s="642"/>
      <c r="IB238" s="642"/>
      <c r="IC238" s="642"/>
      <c r="ID238" s="642"/>
      <c r="IE238" s="642"/>
      <c r="IF238" s="642"/>
      <c r="IG238" s="642"/>
      <c r="IH238" s="642"/>
      <c r="II238" s="642"/>
      <c r="IJ238" s="642"/>
      <c r="IK238" s="642"/>
      <c r="IL238" s="642"/>
      <c r="IM238" s="642"/>
      <c r="IN238" s="642"/>
      <c r="IO238" s="642"/>
    </row>
    <row r="239" spans="1:249" hidden="1" x14ac:dyDescent="0.25">
      <c r="A239" s="643" t="s">
        <v>558</v>
      </c>
      <c r="B239" s="644"/>
      <c r="C239" s="645"/>
      <c r="D239" s="646"/>
      <c r="E239" s="519"/>
      <c r="F239" s="641"/>
      <c r="G239" s="642"/>
      <c r="H239" s="642"/>
      <c r="I239" s="642"/>
      <c r="J239" s="642"/>
      <c r="K239" s="642"/>
      <c r="L239" s="642"/>
      <c r="M239" s="642"/>
      <c r="N239" s="642"/>
      <c r="O239" s="642"/>
      <c r="P239" s="642"/>
      <c r="Q239" s="642"/>
      <c r="R239" s="642"/>
      <c r="S239" s="642"/>
      <c r="T239" s="642"/>
      <c r="U239" s="642"/>
      <c r="V239" s="642"/>
      <c r="W239" s="642"/>
      <c r="X239" s="642"/>
      <c r="Y239" s="642"/>
      <c r="Z239" s="642"/>
      <c r="AA239" s="642"/>
      <c r="AB239" s="642"/>
      <c r="AC239" s="642"/>
      <c r="AD239" s="642"/>
      <c r="AE239" s="642"/>
      <c r="AF239" s="642"/>
      <c r="AG239" s="642"/>
      <c r="AH239" s="642"/>
      <c r="AI239" s="642"/>
      <c r="AJ239" s="642"/>
      <c r="AK239" s="642"/>
      <c r="AL239" s="642"/>
      <c r="AM239" s="642"/>
      <c r="AN239" s="642"/>
      <c r="AO239" s="642"/>
      <c r="AP239" s="642"/>
      <c r="AQ239" s="642"/>
      <c r="AR239" s="642"/>
      <c r="AS239" s="642"/>
      <c r="AT239" s="642"/>
      <c r="AU239" s="642"/>
      <c r="AV239" s="642"/>
      <c r="AW239" s="642"/>
      <c r="AX239" s="642"/>
      <c r="AY239" s="642"/>
      <c r="AZ239" s="642"/>
      <c r="BA239" s="642"/>
      <c r="BB239" s="642"/>
      <c r="BC239" s="642"/>
      <c r="BD239" s="642"/>
      <c r="BE239" s="642"/>
      <c r="BF239" s="642"/>
      <c r="BG239" s="642"/>
      <c r="BH239" s="642"/>
      <c r="BI239" s="642"/>
      <c r="BJ239" s="642"/>
      <c r="BK239" s="642"/>
      <c r="BL239" s="642"/>
      <c r="BM239" s="642"/>
      <c r="BN239" s="642"/>
      <c r="BO239" s="642"/>
      <c r="BP239" s="642"/>
      <c r="BQ239" s="642"/>
      <c r="BR239" s="642"/>
      <c r="BS239" s="642"/>
      <c r="BT239" s="642"/>
      <c r="BU239" s="642"/>
      <c r="BV239" s="642"/>
      <c r="BW239" s="642"/>
      <c r="BX239" s="642"/>
      <c r="BY239" s="642"/>
      <c r="BZ239" s="642"/>
      <c r="CA239" s="642"/>
      <c r="CB239" s="642"/>
      <c r="CC239" s="642"/>
      <c r="CD239" s="642"/>
      <c r="CE239" s="642"/>
      <c r="CF239" s="642"/>
      <c r="CG239" s="642"/>
      <c r="CH239" s="642"/>
      <c r="CI239" s="642"/>
      <c r="CJ239" s="642"/>
      <c r="CK239" s="642"/>
      <c r="CL239" s="642"/>
      <c r="CM239" s="642"/>
      <c r="CN239" s="642"/>
      <c r="CO239" s="642"/>
      <c r="CP239" s="642"/>
      <c r="CQ239" s="642"/>
      <c r="CR239" s="642"/>
      <c r="CS239" s="642"/>
      <c r="CT239" s="642"/>
      <c r="CU239" s="642"/>
      <c r="CV239" s="642"/>
      <c r="CW239" s="642"/>
      <c r="CX239" s="642"/>
      <c r="CY239" s="642"/>
      <c r="CZ239" s="642"/>
      <c r="DA239" s="642"/>
      <c r="DB239" s="642"/>
      <c r="DC239" s="642"/>
      <c r="DD239" s="642"/>
      <c r="DE239" s="642"/>
      <c r="DF239" s="642"/>
      <c r="DG239" s="642"/>
      <c r="DH239" s="642"/>
      <c r="DI239" s="642"/>
      <c r="DJ239" s="642"/>
      <c r="DK239" s="642"/>
      <c r="DL239" s="642"/>
      <c r="DM239" s="642"/>
      <c r="DN239" s="642"/>
      <c r="DO239" s="642"/>
      <c r="DP239" s="642"/>
      <c r="DQ239" s="642"/>
      <c r="DR239" s="642"/>
      <c r="DS239" s="642"/>
      <c r="DT239" s="642"/>
      <c r="DU239" s="642"/>
      <c r="DV239" s="642"/>
      <c r="DW239" s="642"/>
      <c r="DX239" s="642"/>
      <c r="DY239" s="642"/>
      <c r="DZ239" s="642"/>
      <c r="EA239" s="642"/>
      <c r="EB239" s="642"/>
      <c r="EC239" s="642"/>
      <c r="ED239" s="642"/>
      <c r="EE239" s="642"/>
      <c r="EF239" s="642"/>
      <c r="EG239" s="642"/>
      <c r="EH239" s="642"/>
      <c r="EI239" s="642"/>
      <c r="EJ239" s="642"/>
      <c r="EK239" s="642"/>
      <c r="EL239" s="642"/>
      <c r="EM239" s="642"/>
      <c r="EN239" s="642"/>
      <c r="EO239" s="642"/>
      <c r="EP239" s="642"/>
      <c r="EQ239" s="642"/>
      <c r="ER239" s="642"/>
      <c r="ES239" s="642"/>
      <c r="ET239" s="642"/>
      <c r="EU239" s="642"/>
      <c r="EV239" s="642"/>
      <c r="EW239" s="642"/>
      <c r="EX239" s="642"/>
      <c r="EY239" s="642"/>
      <c r="EZ239" s="642"/>
      <c r="FA239" s="642"/>
      <c r="FB239" s="642"/>
      <c r="FC239" s="642"/>
      <c r="FD239" s="642"/>
      <c r="FE239" s="642"/>
      <c r="FF239" s="642"/>
      <c r="FG239" s="642"/>
      <c r="FH239" s="642"/>
      <c r="FI239" s="642"/>
      <c r="FJ239" s="642"/>
      <c r="FK239" s="642"/>
      <c r="FL239" s="642"/>
      <c r="FM239" s="642"/>
      <c r="FN239" s="642"/>
      <c r="FO239" s="642"/>
      <c r="FP239" s="642"/>
      <c r="FQ239" s="642"/>
      <c r="FR239" s="642"/>
      <c r="FS239" s="642"/>
      <c r="FT239" s="642"/>
      <c r="FU239" s="642"/>
      <c r="FV239" s="642"/>
      <c r="FW239" s="642"/>
      <c r="FX239" s="642"/>
      <c r="FY239" s="642"/>
      <c r="FZ239" s="642"/>
      <c r="GA239" s="642"/>
      <c r="GB239" s="642"/>
      <c r="GC239" s="642"/>
      <c r="GD239" s="642"/>
      <c r="GE239" s="642"/>
      <c r="GF239" s="642"/>
      <c r="GG239" s="642"/>
      <c r="GH239" s="642"/>
      <c r="GI239" s="642"/>
      <c r="GJ239" s="642"/>
      <c r="GK239" s="642"/>
      <c r="GL239" s="642"/>
      <c r="GM239" s="642"/>
      <c r="GN239" s="642"/>
      <c r="GO239" s="642"/>
      <c r="GP239" s="642"/>
      <c r="GQ239" s="642"/>
      <c r="GR239" s="642"/>
      <c r="GS239" s="642"/>
      <c r="GT239" s="642"/>
      <c r="GU239" s="642"/>
      <c r="GV239" s="642"/>
      <c r="GW239" s="642"/>
      <c r="GX239" s="642"/>
      <c r="GY239" s="642"/>
      <c r="GZ239" s="642"/>
      <c r="HA239" s="642"/>
      <c r="HB239" s="642"/>
      <c r="HC239" s="642"/>
      <c r="HD239" s="642"/>
      <c r="HE239" s="642"/>
      <c r="HF239" s="642"/>
      <c r="HG239" s="642"/>
      <c r="HH239" s="642"/>
      <c r="HI239" s="642"/>
      <c r="HJ239" s="642"/>
      <c r="HK239" s="642"/>
      <c r="HL239" s="642"/>
      <c r="HM239" s="642"/>
      <c r="HN239" s="642"/>
      <c r="HO239" s="642"/>
      <c r="HP239" s="642"/>
      <c r="HQ239" s="642"/>
      <c r="HR239" s="642"/>
      <c r="HS239" s="642"/>
      <c r="HT239" s="642"/>
      <c r="HU239" s="642"/>
      <c r="HV239" s="642"/>
      <c r="HW239" s="642"/>
      <c r="HX239" s="642"/>
      <c r="HY239" s="642"/>
      <c r="HZ239" s="642"/>
      <c r="IA239" s="642"/>
      <c r="IB239" s="642"/>
      <c r="IC239" s="642"/>
      <c r="ID239" s="642"/>
      <c r="IE239" s="642"/>
      <c r="IF239" s="642"/>
      <c r="IG239" s="642"/>
      <c r="IH239" s="642"/>
      <c r="II239" s="642"/>
      <c r="IJ239" s="642"/>
      <c r="IK239" s="642"/>
      <c r="IL239" s="642"/>
      <c r="IM239" s="642"/>
      <c r="IN239" s="642"/>
      <c r="IO239" s="642"/>
    </row>
    <row r="240" spans="1:249" ht="31.5" hidden="1" x14ac:dyDescent="0.25">
      <c r="A240" s="647" t="s">
        <v>559</v>
      </c>
      <c r="B240" s="644"/>
      <c r="C240" s="645"/>
      <c r="D240" s="646"/>
      <c r="E240" s="519"/>
      <c r="F240" s="641"/>
      <c r="G240" s="642"/>
      <c r="H240" s="642"/>
      <c r="I240" s="642"/>
      <c r="J240" s="642"/>
      <c r="K240" s="642"/>
      <c r="L240" s="642"/>
      <c r="M240" s="642"/>
      <c r="N240" s="642"/>
      <c r="O240" s="642"/>
      <c r="P240" s="642"/>
      <c r="Q240" s="642"/>
      <c r="R240" s="642"/>
      <c r="S240" s="642"/>
      <c r="T240" s="642"/>
      <c r="U240" s="642"/>
      <c r="V240" s="642"/>
      <c r="W240" s="642"/>
      <c r="X240" s="642"/>
      <c r="Y240" s="642"/>
      <c r="Z240" s="642"/>
      <c r="AA240" s="642"/>
      <c r="AB240" s="642"/>
      <c r="AC240" s="642"/>
      <c r="AD240" s="642"/>
      <c r="AE240" s="642"/>
      <c r="AF240" s="642"/>
      <c r="AG240" s="642"/>
      <c r="AH240" s="642"/>
      <c r="AI240" s="642"/>
      <c r="AJ240" s="642"/>
      <c r="AK240" s="642"/>
      <c r="AL240" s="642"/>
      <c r="AM240" s="642"/>
      <c r="AN240" s="642"/>
      <c r="AO240" s="642"/>
      <c r="AP240" s="642"/>
      <c r="AQ240" s="642"/>
      <c r="AR240" s="642"/>
      <c r="AS240" s="642"/>
      <c r="AT240" s="642"/>
      <c r="AU240" s="642"/>
      <c r="AV240" s="642"/>
      <c r="AW240" s="642"/>
      <c r="AX240" s="642"/>
      <c r="AY240" s="642"/>
      <c r="AZ240" s="642"/>
      <c r="BA240" s="642"/>
      <c r="BB240" s="642"/>
      <c r="BC240" s="642"/>
      <c r="BD240" s="642"/>
      <c r="BE240" s="642"/>
      <c r="BF240" s="642"/>
      <c r="BG240" s="642"/>
      <c r="BH240" s="642"/>
      <c r="BI240" s="642"/>
      <c r="BJ240" s="642"/>
      <c r="BK240" s="642"/>
      <c r="BL240" s="642"/>
      <c r="BM240" s="642"/>
      <c r="BN240" s="642"/>
      <c r="BO240" s="642"/>
      <c r="BP240" s="642"/>
      <c r="BQ240" s="642"/>
      <c r="BR240" s="642"/>
      <c r="BS240" s="642"/>
      <c r="BT240" s="642"/>
      <c r="BU240" s="642"/>
      <c r="BV240" s="642"/>
      <c r="BW240" s="642"/>
      <c r="BX240" s="642"/>
      <c r="BY240" s="642"/>
      <c r="BZ240" s="642"/>
      <c r="CA240" s="642"/>
      <c r="CB240" s="642"/>
      <c r="CC240" s="642"/>
      <c r="CD240" s="642"/>
      <c r="CE240" s="642"/>
      <c r="CF240" s="642"/>
      <c r="CG240" s="642"/>
      <c r="CH240" s="642"/>
      <c r="CI240" s="642"/>
      <c r="CJ240" s="642"/>
      <c r="CK240" s="642"/>
      <c r="CL240" s="642"/>
      <c r="CM240" s="642"/>
      <c r="CN240" s="642"/>
      <c r="CO240" s="642"/>
      <c r="CP240" s="642"/>
      <c r="CQ240" s="642"/>
      <c r="CR240" s="642"/>
      <c r="CS240" s="642"/>
      <c r="CT240" s="642"/>
      <c r="CU240" s="642"/>
      <c r="CV240" s="642"/>
      <c r="CW240" s="642"/>
      <c r="CX240" s="642"/>
      <c r="CY240" s="642"/>
      <c r="CZ240" s="642"/>
      <c r="DA240" s="642"/>
      <c r="DB240" s="642"/>
      <c r="DC240" s="642"/>
      <c r="DD240" s="642"/>
      <c r="DE240" s="642"/>
      <c r="DF240" s="642"/>
      <c r="DG240" s="642"/>
      <c r="DH240" s="642"/>
      <c r="DI240" s="642"/>
      <c r="DJ240" s="642"/>
      <c r="DK240" s="642"/>
      <c r="DL240" s="642"/>
      <c r="DM240" s="642"/>
      <c r="DN240" s="642"/>
      <c r="DO240" s="642"/>
      <c r="DP240" s="642"/>
      <c r="DQ240" s="642"/>
      <c r="DR240" s="642"/>
      <c r="DS240" s="642"/>
      <c r="DT240" s="642"/>
      <c r="DU240" s="642"/>
      <c r="DV240" s="642"/>
      <c r="DW240" s="642"/>
      <c r="DX240" s="642"/>
      <c r="DY240" s="642"/>
      <c r="DZ240" s="642"/>
      <c r="EA240" s="642"/>
      <c r="EB240" s="642"/>
      <c r="EC240" s="642"/>
      <c r="ED240" s="642"/>
      <c r="EE240" s="642"/>
      <c r="EF240" s="642"/>
      <c r="EG240" s="642"/>
      <c r="EH240" s="642"/>
      <c r="EI240" s="642"/>
      <c r="EJ240" s="642"/>
      <c r="EK240" s="642"/>
      <c r="EL240" s="642"/>
      <c r="EM240" s="642"/>
      <c r="EN240" s="642"/>
      <c r="EO240" s="642"/>
      <c r="EP240" s="642"/>
      <c r="EQ240" s="642"/>
      <c r="ER240" s="642"/>
      <c r="ES240" s="642"/>
      <c r="ET240" s="642"/>
      <c r="EU240" s="642"/>
      <c r="EV240" s="642"/>
      <c r="EW240" s="642"/>
      <c r="EX240" s="642"/>
      <c r="EY240" s="642"/>
      <c r="EZ240" s="642"/>
      <c r="FA240" s="642"/>
      <c r="FB240" s="642"/>
      <c r="FC240" s="642"/>
      <c r="FD240" s="642"/>
      <c r="FE240" s="642"/>
      <c r="FF240" s="642"/>
      <c r="FG240" s="642"/>
      <c r="FH240" s="642"/>
      <c r="FI240" s="642"/>
      <c r="FJ240" s="642"/>
      <c r="FK240" s="642"/>
      <c r="FL240" s="642"/>
      <c r="FM240" s="642"/>
      <c r="FN240" s="642"/>
      <c r="FO240" s="642"/>
      <c r="FP240" s="642"/>
      <c r="FQ240" s="642"/>
      <c r="FR240" s="642"/>
      <c r="FS240" s="642"/>
      <c r="FT240" s="642"/>
      <c r="FU240" s="642"/>
      <c r="FV240" s="642"/>
      <c r="FW240" s="642"/>
      <c r="FX240" s="642"/>
      <c r="FY240" s="642"/>
      <c r="FZ240" s="642"/>
      <c r="GA240" s="642"/>
      <c r="GB240" s="642"/>
      <c r="GC240" s="642"/>
      <c r="GD240" s="642"/>
      <c r="GE240" s="642"/>
      <c r="GF240" s="642"/>
      <c r="GG240" s="642"/>
      <c r="GH240" s="642"/>
      <c r="GI240" s="642"/>
      <c r="GJ240" s="642"/>
      <c r="GK240" s="642"/>
      <c r="GL240" s="642"/>
      <c r="GM240" s="642"/>
      <c r="GN240" s="642"/>
      <c r="GO240" s="642"/>
      <c r="GP240" s="642"/>
      <c r="GQ240" s="642"/>
      <c r="GR240" s="642"/>
      <c r="GS240" s="642"/>
      <c r="GT240" s="642"/>
      <c r="GU240" s="642"/>
      <c r="GV240" s="642"/>
      <c r="GW240" s="642"/>
      <c r="GX240" s="642"/>
      <c r="GY240" s="642"/>
      <c r="GZ240" s="642"/>
      <c r="HA240" s="642"/>
      <c r="HB240" s="642"/>
      <c r="HC240" s="642"/>
      <c r="HD240" s="642"/>
      <c r="HE240" s="642"/>
      <c r="HF240" s="642"/>
      <c r="HG240" s="642"/>
      <c r="HH240" s="642"/>
      <c r="HI240" s="642"/>
      <c r="HJ240" s="642"/>
      <c r="HK240" s="642"/>
      <c r="HL240" s="642"/>
      <c r="HM240" s="642"/>
      <c r="HN240" s="642"/>
      <c r="HO240" s="642"/>
      <c r="HP240" s="642"/>
      <c r="HQ240" s="642"/>
      <c r="HR240" s="642"/>
      <c r="HS240" s="642"/>
      <c r="HT240" s="642"/>
      <c r="HU240" s="642"/>
      <c r="HV240" s="642"/>
      <c r="HW240" s="642"/>
      <c r="HX240" s="642"/>
      <c r="HY240" s="642"/>
      <c r="HZ240" s="642"/>
      <c r="IA240" s="642"/>
      <c r="IB240" s="642"/>
      <c r="IC240" s="642"/>
      <c r="ID240" s="642"/>
      <c r="IE240" s="642"/>
      <c r="IF240" s="642"/>
      <c r="IG240" s="642"/>
      <c r="IH240" s="642"/>
      <c r="II240" s="642"/>
      <c r="IJ240" s="642"/>
      <c r="IK240" s="642"/>
      <c r="IL240" s="642"/>
      <c r="IM240" s="642"/>
      <c r="IN240" s="642"/>
      <c r="IO240" s="642"/>
    </row>
    <row r="241" spans="1:249" hidden="1" x14ac:dyDescent="0.25">
      <c r="A241" s="647" t="s">
        <v>560</v>
      </c>
      <c r="B241" s="644"/>
      <c r="C241" s="645"/>
      <c r="D241" s="646"/>
      <c r="E241" s="519"/>
      <c r="F241" s="641"/>
      <c r="G241" s="642"/>
      <c r="H241" s="642"/>
      <c r="I241" s="642"/>
      <c r="J241" s="642"/>
      <c r="K241" s="642"/>
      <c r="L241" s="642"/>
      <c r="M241" s="642"/>
      <c r="N241" s="642"/>
      <c r="O241" s="642"/>
      <c r="P241" s="642"/>
      <c r="Q241" s="642"/>
      <c r="R241" s="642"/>
      <c r="S241" s="642"/>
      <c r="T241" s="642"/>
      <c r="U241" s="642"/>
      <c r="V241" s="642"/>
      <c r="W241" s="642"/>
      <c r="X241" s="642"/>
      <c r="Y241" s="642"/>
      <c r="Z241" s="642"/>
      <c r="AA241" s="642"/>
      <c r="AB241" s="642"/>
      <c r="AC241" s="642"/>
      <c r="AD241" s="642"/>
      <c r="AE241" s="642"/>
      <c r="AF241" s="642"/>
      <c r="AG241" s="642"/>
      <c r="AH241" s="642"/>
      <c r="AI241" s="642"/>
      <c r="AJ241" s="642"/>
      <c r="AK241" s="642"/>
      <c r="AL241" s="642"/>
      <c r="AM241" s="642"/>
      <c r="AN241" s="642"/>
      <c r="AO241" s="642"/>
      <c r="AP241" s="642"/>
      <c r="AQ241" s="642"/>
      <c r="AR241" s="642"/>
      <c r="AS241" s="642"/>
      <c r="AT241" s="642"/>
      <c r="AU241" s="642"/>
      <c r="AV241" s="642"/>
      <c r="AW241" s="642"/>
      <c r="AX241" s="642"/>
      <c r="AY241" s="642"/>
      <c r="AZ241" s="642"/>
      <c r="BA241" s="642"/>
      <c r="BB241" s="642"/>
      <c r="BC241" s="642"/>
      <c r="BD241" s="642"/>
      <c r="BE241" s="642"/>
      <c r="BF241" s="642"/>
      <c r="BG241" s="642"/>
      <c r="BH241" s="642"/>
      <c r="BI241" s="642"/>
      <c r="BJ241" s="642"/>
      <c r="BK241" s="642"/>
      <c r="BL241" s="642"/>
      <c r="BM241" s="642"/>
      <c r="BN241" s="642"/>
      <c r="BO241" s="642"/>
      <c r="BP241" s="642"/>
      <c r="BQ241" s="642"/>
      <c r="BR241" s="642"/>
      <c r="BS241" s="642"/>
      <c r="BT241" s="642"/>
      <c r="BU241" s="642"/>
      <c r="BV241" s="642"/>
      <c r="BW241" s="642"/>
      <c r="BX241" s="642"/>
      <c r="BY241" s="642"/>
      <c r="BZ241" s="642"/>
      <c r="CA241" s="642"/>
      <c r="CB241" s="642"/>
      <c r="CC241" s="642"/>
      <c r="CD241" s="642"/>
      <c r="CE241" s="642"/>
      <c r="CF241" s="642"/>
      <c r="CG241" s="642"/>
      <c r="CH241" s="642"/>
      <c r="CI241" s="642"/>
      <c r="CJ241" s="642"/>
      <c r="CK241" s="642"/>
      <c r="CL241" s="642"/>
      <c r="CM241" s="642"/>
      <c r="CN241" s="642"/>
      <c r="CO241" s="642"/>
      <c r="CP241" s="642"/>
      <c r="CQ241" s="642"/>
      <c r="CR241" s="642"/>
      <c r="CS241" s="642"/>
      <c r="CT241" s="642"/>
      <c r="CU241" s="642"/>
      <c r="CV241" s="642"/>
      <c r="CW241" s="642"/>
      <c r="CX241" s="642"/>
      <c r="CY241" s="642"/>
      <c r="CZ241" s="642"/>
      <c r="DA241" s="642"/>
      <c r="DB241" s="642"/>
      <c r="DC241" s="642"/>
      <c r="DD241" s="642"/>
      <c r="DE241" s="642"/>
      <c r="DF241" s="642"/>
      <c r="DG241" s="642"/>
      <c r="DH241" s="642"/>
      <c r="DI241" s="642"/>
      <c r="DJ241" s="642"/>
      <c r="DK241" s="642"/>
      <c r="DL241" s="642"/>
      <c r="DM241" s="642"/>
      <c r="DN241" s="642"/>
      <c r="DO241" s="642"/>
      <c r="DP241" s="642"/>
      <c r="DQ241" s="642"/>
      <c r="DR241" s="642"/>
      <c r="DS241" s="642"/>
      <c r="DT241" s="642"/>
      <c r="DU241" s="642"/>
      <c r="DV241" s="642"/>
      <c r="DW241" s="642"/>
      <c r="DX241" s="642"/>
      <c r="DY241" s="642"/>
      <c r="DZ241" s="642"/>
      <c r="EA241" s="642"/>
      <c r="EB241" s="642"/>
      <c r="EC241" s="642"/>
      <c r="ED241" s="642"/>
      <c r="EE241" s="642"/>
      <c r="EF241" s="642"/>
      <c r="EG241" s="642"/>
      <c r="EH241" s="642"/>
      <c r="EI241" s="642"/>
      <c r="EJ241" s="642"/>
      <c r="EK241" s="642"/>
      <c r="EL241" s="642"/>
      <c r="EM241" s="642"/>
      <c r="EN241" s="642"/>
      <c r="EO241" s="642"/>
      <c r="EP241" s="642"/>
      <c r="EQ241" s="642"/>
      <c r="ER241" s="642"/>
      <c r="ES241" s="642"/>
      <c r="ET241" s="642"/>
      <c r="EU241" s="642"/>
      <c r="EV241" s="642"/>
      <c r="EW241" s="642"/>
      <c r="EX241" s="642"/>
      <c r="EY241" s="642"/>
      <c r="EZ241" s="642"/>
      <c r="FA241" s="642"/>
      <c r="FB241" s="642"/>
      <c r="FC241" s="642"/>
      <c r="FD241" s="642"/>
      <c r="FE241" s="642"/>
      <c r="FF241" s="642"/>
      <c r="FG241" s="642"/>
      <c r="FH241" s="642"/>
      <c r="FI241" s="642"/>
      <c r="FJ241" s="642"/>
      <c r="FK241" s="642"/>
      <c r="FL241" s="642"/>
      <c r="FM241" s="642"/>
      <c r="FN241" s="642"/>
      <c r="FO241" s="642"/>
      <c r="FP241" s="642"/>
      <c r="FQ241" s="642"/>
      <c r="FR241" s="642"/>
      <c r="FS241" s="642"/>
      <c r="FT241" s="642"/>
      <c r="FU241" s="642"/>
      <c r="FV241" s="642"/>
      <c r="FW241" s="642"/>
      <c r="FX241" s="642"/>
      <c r="FY241" s="642"/>
      <c r="FZ241" s="642"/>
      <c r="GA241" s="642"/>
      <c r="GB241" s="642"/>
      <c r="GC241" s="642"/>
      <c r="GD241" s="642"/>
      <c r="GE241" s="642"/>
      <c r="GF241" s="642"/>
      <c r="GG241" s="642"/>
      <c r="GH241" s="642"/>
      <c r="GI241" s="642"/>
      <c r="GJ241" s="642"/>
      <c r="GK241" s="642"/>
      <c r="GL241" s="642"/>
      <c r="GM241" s="642"/>
      <c r="GN241" s="642"/>
      <c r="GO241" s="642"/>
      <c r="GP241" s="642"/>
      <c r="GQ241" s="642"/>
      <c r="GR241" s="642"/>
      <c r="GS241" s="642"/>
      <c r="GT241" s="642"/>
      <c r="GU241" s="642"/>
      <c r="GV241" s="642"/>
      <c r="GW241" s="642"/>
      <c r="GX241" s="642"/>
      <c r="GY241" s="642"/>
      <c r="GZ241" s="642"/>
      <c r="HA241" s="642"/>
      <c r="HB241" s="642"/>
      <c r="HC241" s="642"/>
      <c r="HD241" s="642"/>
      <c r="HE241" s="642"/>
      <c r="HF241" s="642"/>
      <c r="HG241" s="642"/>
      <c r="HH241" s="642"/>
      <c r="HI241" s="642"/>
      <c r="HJ241" s="642"/>
      <c r="HK241" s="642"/>
      <c r="HL241" s="642"/>
      <c r="HM241" s="642"/>
      <c r="HN241" s="642"/>
      <c r="HO241" s="642"/>
      <c r="HP241" s="642"/>
      <c r="HQ241" s="642"/>
      <c r="HR241" s="642"/>
      <c r="HS241" s="642"/>
      <c r="HT241" s="642"/>
      <c r="HU241" s="642"/>
      <c r="HV241" s="642"/>
      <c r="HW241" s="642"/>
      <c r="HX241" s="642"/>
      <c r="HY241" s="642"/>
      <c r="HZ241" s="642"/>
      <c r="IA241" s="642"/>
      <c r="IB241" s="642"/>
      <c r="IC241" s="642"/>
      <c r="ID241" s="642"/>
      <c r="IE241" s="642"/>
      <c r="IF241" s="642"/>
      <c r="IG241" s="642"/>
      <c r="IH241" s="642"/>
      <c r="II241" s="642"/>
      <c r="IJ241" s="642"/>
      <c r="IK241" s="642"/>
      <c r="IL241" s="642"/>
      <c r="IM241" s="642"/>
      <c r="IN241" s="642"/>
      <c r="IO241" s="642"/>
    </row>
    <row r="242" spans="1:249" x14ac:dyDescent="0.25">
      <c r="A242" s="780" t="s">
        <v>1157</v>
      </c>
      <c r="B242" s="780"/>
      <c r="C242" s="780"/>
      <c r="D242" s="780"/>
      <c r="E242" s="780"/>
      <c r="F242" s="544">
        <f>SUM(E244:E252)/9</f>
        <v>87.222222222222229</v>
      </c>
    </row>
    <row r="243" spans="1:249" ht="33.75" customHeight="1" x14ac:dyDescent="0.25">
      <c r="A243" s="786" t="s">
        <v>561</v>
      </c>
      <c r="B243" s="787"/>
      <c r="C243" s="787"/>
      <c r="D243" s="787"/>
      <c r="E243" s="788"/>
      <c r="F243" s="641"/>
      <c r="G243" s="642"/>
      <c r="H243" s="642"/>
      <c r="I243" s="642"/>
      <c r="J243" s="642"/>
      <c r="K243" s="642"/>
      <c r="L243" s="642"/>
      <c r="M243" s="642"/>
      <c r="N243" s="642"/>
      <c r="O243" s="642"/>
      <c r="P243" s="642"/>
      <c r="Q243" s="642"/>
      <c r="R243" s="642"/>
      <c r="S243" s="642"/>
      <c r="T243" s="642"/>
      <c r="U243" s="642"/>
      <c r="V243" s="642"/>
      <c r="W243" s="642"/>
      <c r="X243" s="642"/>
      <c r="Y243" s="642"/>
      <c r="Z243" s="642"/>
      <c r="AA243" s="642"/>
      <c r="AB243" s="642"/>
      <c r="AC243" s="642"/>
      <c r="AD243" s="642"/>
      <c r="AE243" s="642"/>
      <c r="AF243" s="642"/>
      <c r="AG243" s="642"/>
      <c r="AH243" s="642"/>
      <c r="AI243" s="642"/>
      <c r="AJ243" s="642"/>
      <c r="AK243" s="642"/>
      <c r="AL243" s="642"/>
      <c r="AM243" s="642"/>
      <c r="AN243" s="642"/>
      <c r="AO243" s="642"/>
      <c r="AP243" s="642"/>
      <c r="AQ243" s="642"/>
      <c r="AR243" s="642"/>
      <c r="AS243" s="642"/>
      <c r="AT243" s="642"/>
      <c r="AU243" s="642"/>
      <c r="AV243" s="642"/>
      <c r="AW243" s="642"/>
      <c r="AX243" s="642"/>
      <c r="AY243" s="642"/>
      <c r="AZ243" s="642"/>
      <c r="BA243" s="642"/>
      <c r="BB243" s="642"/>
      <c r="BC243" s="642"/>
      <c r="BD243" s="642"/>
      <c r="BE243" s="642"/>
      <c r="BF243" s="642"/>
      <c r="BG243" s="642"/>
      <c r="BH243" s="642"/>
      <c r="BI243" s="642"/>
      <c r="BJ243" s="642"/>
      <c r="BK243" s="642"/>
      <c r="BL243" s="642"/>
      <c r="BM243" s="642"/>
      <c r="BN243" s="642"/>
      <c r="BO243" s="642"/>
      <c r="BP243" s="642"/>
      <c r="BQ243" s="642"/>
      <c r="BR243" s="642"/>
      <c r="BS243" s="642"/>
      <c r="BT243" s="642"/>
      <c r="BU243" s="642"/>
      <c r="BV243" s="642"/>
      <c r="BW243" s="642"/>
      <c r="BX243" s="642"/>
      <c r="BY243" s="642"/>
      <c r="BZ243" s="642"/>
      <c r="CA243" s="642"/>
      <c r="CB243" s="642"/>
      <c r="CC243" s="642"/>
      <c r="CD243" s="642"/>
      <c r="CE243" s="642"/>
      <c r="CF243" s="642"/>
      <c r="CG243" s="642"/>
      <c r="CH243" s="642"/>
      <c r="CI243" s="642"/>
      <c r="CJ243" s="642"/>
      <c r="CK243" s="642"/>
      <c r="CL243" s="642"/>
      <c r="CM243" s="642"/>
      <c r="CN243" s="642"/>
      <c r="CO243" s="642"/>
      <c r="CP243" s="642"/>
      <c r="CQ243" s="642"/>
      <c r="CR243" s="642"/>
      <c r="CS243" s="642"/>
      <c r="CT243" s="642"/>
      <c r="CU243" s="642"/>
      <c r="CV243" s="642"/>
      <c r="CW243" s="642"/>
      <c r="CX243" s="642"/>
      <c r="CY243" s="642"/>
      <c r="CZ243" s="642"/>
      <c r="DA243" s="642"/>
      <c r="DB243" s="642"/>
      <c r="DC243" s="642"/>
      <c r="DD243" s="642"/>
      <c r="DE243" s="642"/>
      <c r="DF243" s="642"/>
      <c r="DG243" s="642"/>
      <c r="DH243" s="642"/>
      <c r="DI243" s="642"/>
      <c r="DJ243" s="642"/>
      <c r="DK243" s="642"/>
      <c r="DL243" s="642"/>
      <c r="DM243" s="642"/>
      <c r="DN243" s="642"/>
      <c r="DO243" s="642"/>
      <c r="DP243" s="642"/>
      <c r="DQ243" s="642"/>
      <c r="DR243" s="642"/>
      <c r="DS243" s="642"/>
      <c r="DT243" s="642"/>
      <c r="DU243" s="642"/>
      <c r="DV243" s="642"/>
      <c r="DW243" s="642"/>
      <c r="DX243" s="642"/>
      <c r="DY243" s="642"/>
      <c r="DZ243" s="642"/>
      <c r="EA243" s="642"/>
      <c r="EB243" s="642"/>
      <c r="EC243" s="642"/>
      <c r="ED243" s="642"/>
      <c r="EE243" s="642"/>
      <c r="EF243" s="642"/>
      <c r="EG243" s="642"/>
      <c r="EH243" s="642"/>
      <c r="EI243" s="642"/>
      <c r="EJ243" s="642"/>
      <c r="EK243" s="642"/>
      <c r="EL243" s="642"/>
      <c r="EM243" s="642"/>
      <c r="EN243" s="642"/>
      <c r="EO243" s="642"/>
      <c r="EP243" s="642"/>
      <c r="EQ243" s="642"/>
      <c r="ER243" s="642"/>
      <c r="ES243" s="642"/>
      <c r="ET243" s="642"/>
      <c r="EU243" s="642"/>
      <c r="EV243" s="642"/>
      <c r="EW243" s="642"/>
      <c r="EX243" s="642"/>
      <c r="EY243" s="642"/>
      <c r="EZ243" s="642"/>
      <c r="FA243" s="642"/>
      <c r="FB243" s="642"/>
      <c r="FC243" s="642"/>
      <c r="FD243" s="642"/>
      <c r="FE243" s="642"/>
      <c r="FF243" s="642"/>
      <c r="FG243" s="642"/>
      <c r="FH243" s="642"/>
      <c r="FI243" s="642"/>
      <c r="FJ243" s="642"/>
      <c r="FK243" s="642"/>
      <c r="FL243" s="642"/>
      <c r="FM243" s="642"/>
      <c r="FN243" s="642"/>
      <c r="FO243" s="642"/>
      <c r="FP243" s="642"/>
      <c r="FQ243" s="642"/>
      <c r="FR243" s="642"/>
      <c r="FS243" s="642"/>
      <c r="FT243" s="642"/>
      <c r="FU243" s="642"/>
      <c r="FV243" s="642"/>
      <c r="FW243" s="642"/>
      <c r="FX243" s="642"/>
      <c r="FY243" s="642"/>
      <c r="FZ243" s="642"/>
      <c r="GA243" s="642"/>
      <c r="GB243" s="642"/>
      <c r="GC243" s="642"/>
      <c r="GD243" s="642"/>
      <c r="GE243" s="642"/>
      <c r="GF243" s="642"/>
      <c r="GG243" s="642"/>
      <c r="GH243" s="642"/>
      <c r="GI243" s="642"/>
      <c r="GJ243" s="642"/>
      <c r="GK243" s="642"/>
      <c r="GL243" s="642"/>
      <c r="GM243" s="642"/>
      <c r="GN243" s="642"/>
      <c r="GO243" s="642"/>
      <c r="GP243" s="642"/>
      <c r="GQ243" s="642"/>
      <c r="GR243" s="642"/>
      <c r="GS243" s="642"/>
      <c r="GT243" s="642"/>
      <c r="GU243" s="642"/>
      <c r="GV243" s="642"/>
      <c r="GW243" s="642"/>
      <c r="GX243" s="642"/>
      <c r="GY243" s="642"/>
      <c r="GZ243" s="642"/>
      <c r="HA243" s="642"/>
      <c r="HB243" s="642"/>
      <c r="HC243" s="642"/>
      <c r="HD243" s="642"/>
      <c r="HE243" s="642"/>
      <c r="HF243" s="642"/>
      <c r="HG243" s="642"/>
      <c r="HH243" s="642"/>
      <c r="HI243" s="642"/>
      <c r="HJ243" s="642"/>
      <c r="HK243" s="642"/>
      <c r="HL243" s="642"/>
      <c r="HM243" s="642"/>
      <c r="HN243" s="642"/>
      <c r="HO243" s="642"/>
      <c r="HP243" s="642"/>
      <c r="HQ243" s="642"/>
      <c r="HR243" s="642"/>
      <c r="HS243" s="642"/>
      <c r="HT243" s="642"/>
      <c r="HU243" s="642"/>
      <c r="HV243" s="642"/>
      <c r="HW243" s="642"/>
      <c r="HX243" s="642"/>
      <c r="HY243" s="642"/>
      <c r="HZ243" s="642"/>
      <c r="IA243" s="642"/>
      <c r="IB243" s="642"/>
      <c r="IC243" s="642"/>
      <c r="ID243" s="642"/>
      <c r="IE243" s="642"/>
      <c r="IF243" s="642"/>
      <c r="IG243" s="642"/>
      <c r="IH243" s="642"/>
      <c r="II243" s="642"/>
      <c r="IJ243" s="642"/>
      <c r="IK243" s="642"/>
      <c r="IL243" s="642"/>
      <c r="IM243" s="642"/>
      <c r="IN243" s="642"/>
      <c r="IO243" s="642"/>
    </row>
    <row r="244" spans="1:249" ht="37.5" customHeight="1" x14ac:dyDescent="0.25">
      <c r="A244" s="648" t="s">
        <v>562</v>
      </c>
      <c r="B244" s="461" t="s">
        <v>411</v>
      </c>
      <c r="C244" s="649">
        <v>9</v>
      </c>
      <c r="D244" s="650">
        <v>10</v>
      </c>
      <c r="E244" s="557">
        <v>100</v>
      </c>
      <c r="F244" s="641"/>
      <c r="G244" s="642"/>
      <c r="H244" s="642"/>
      <c r="I244" s="642"/>
      <c r="J244" s="642"/>
      <c r="K244" s="642"/>
      <c r="L244" s="642"/>
      <c r="M244" s="642"/>
      <c r="N244" s="642"/>
      <c r="O244" s="642"/>
      <c r="P244" s="642"/>
      <c r="Q244" s="642"/>
      <c r="R244" s="642"/>
      <c r="S244" s="642"/>
      <c r="T244" s="642"/>
      <c r="U244" s="642"/>
      <c r="V244" s="642"/>
      <c r="W244" s="642"/>
      <c r="X244" s="642"/>
      <c r="Y244" s="642"/>
      <c r="Z244" s="642"/>
      <c r="AA244" s="642"/>
      <c r="AB244" s="642"/>
      <c r="AC244" s="642"/>
      <c r="AD244" s="642"/>
      <c r="AE244" s="642"/>
      <c r="AF244" s="642"/>
      <c r="AG244" s="642"/>
      <c r="AH244" s="642"/>
      <c r="AI244" s="642"/>
      <c r="AJ244" s="642"/>
      <c r="AK244" s="642"/>
      <c r="AL244" s="642"/>
      <c r="AM244" s="642"/>
      <c r="AN244" s="642"/>
      <c r="AO244" s="642"/>
      <c r="AP244" s="642"/>
      <c r="AQ244" s="642"/>
      <c r="AR244" s="642"/>
      <c r="AS244" s="642"/>
      <c r="AT244" s="642"/>
      <c r="AU244" s="642"/>
      <c r="AV244" s="642"/>
      <c r="AW244" s="642"/>
      <c r="AX244" s="642"/>
      <c r="AY244" s="642"/>
      <c r="AZ244" s="642"/>
      <c r="BA244" s="642"/>
      <c r="BB244" s="642"/>
      <c r="BC244" s="642"/>
      <c r="BD244" s="642"/>
      <c r="BE244" s="642"/>
      <c r="BF244" s="642"/>
      <c r="BG244" s="642"/>
      <c r="BH244" s="642"/>
      <c r="BI244" s="642"/>
      <c r="BJ244" s="642"/>
      <c r="BK244" s="642"/>
      <c r="BL244" s="642"/>
      <c r="BM244" s="642"/>
      <c r="BN244" s="642"/>
      <c r="BO244" s="642"/>
      <c r="BP244" s="642"/>
      <c r="BQ244" s="642"/>
      <c r="BR244" s="642"/>
      <c r="BS244" s="642"/>
      <c r="BT244" s="642"/>
      <c r="BU244" s="642"/>
      <c r="BV244" s="642"/>
      <c r="BW244" s="642"/>
      <c r="BX244" s="642"/>
      <c r="BY244" s="642"/>
      <c r="BZ244" s="642"/>
      <c r="CA244" s="642"/>
      <c r="CB244" s="642"/>
      <c r="CC244" s="642"/>
      <c r="CD244" s="642"/>
      <c r="CE244" s="642"/>
      <c r="CF244" s="642"/>
      <c r="CG244" s="642"/>
      <c r="CH244" s="642"/>
      <c r="CI244" s="642"/>
      <c r="CJ244" s="642"/>
      <c r="CK244" s="642"/>
      <c r="CL244" s="642"/>
      <c r="CM244" s="642"/>
      <c r="CN244" s="642"/>
      <c r="CO244" s="642"/>
      <c r="CP244" s="642"/>
      <c r="CQ244" s="642"/>
      <c r="CR244" s="642"/>
      <c r="CS244" s="642"/>
      <c r="CT244" s="642"/>
      <c r="CU244" s="642"/>
      <c r="CV244" s="642"/>
      <c r="CW244" s="642"/>
      <c r="CX244" s="642"/>
      <c r="CY244" s="642"/>
      <c r="CZ244" s="642"/>
      <c r="DA244" s="642"/>
      <c r="DB244" s="642"/>
      <c r="DC244" s="642"/>
      <c r="DD244" s="642"/>
      <c r="DE244" s="642"/>
      <c r="DF244" s="642"/>
      <c r="DG244" s="642"/>
      <c r="DH244" s="642"/>
      <c r="DI244" s="642"/>
      <c r="DJ244" s="642"/>
      <c r="DK244" s="642"/>
      <c r="DL244" s="642"/>
      <c r="DM244" s="642"/>
      <c r="DN244" s="642"/>
      <c r="DO244" s="642"/>
      <c r="DP244" s="642"/>
      <c r="DQ244" s="642"/>
      <c r="DR244" s="642"/>
      <c r="DS244" s="642"/>
      <c r="DT244" s="642"/>
      <c r="DU244" s="642"/>
      <c r="DV244" s="642"/>
      <c r="DW244" s="642"/>
      <c r="DX244" s="642"/>
      <c r="DY244" s="642"/>
      <c r="DZ244" s="642"/>
      <c r="EA244" s="642"/>
      <c r="EB244" s="642"/>
      <c r="EC244" s="642"/>
      <c r="ED244" s="642"/>
      <c r="EE244" s="642"/>
      <c r="EF244" s="642"/>
      <c r="EG244" s="642"/>
      <c r="EH244" s="642"/>
      <c r="EI244" s="642"/>
      <c r="EJ244" s="642"/>
      <c r="EK244" s="642"/>
      <c r="EL244" s="642"/>
      <c r="EM244" s="642"/>
      <c r="EN244" s="642"/>
      <c r="EO244" s="642"/>
      <c r="EP244" s="642"/>
      <c r="EQ244" s="642"/>
      <c r="ER244" s="642"/>
      <c r="ES244" s="642"/>
      <c r="ET244" s="642"/>
      <c r="EU244" s="642"/>
      <c r="EV244" s="642"/>
      <c r="EW244" s="642"/>
      <c r="EX244" s="642"/>
      <c r="EY244" s="642"/>
      <c r="EZ244" s="642"/>
      <c r="FA244" s="642"/>
      <c r="FB244" s="642"/>
      <c r="FC244" s="642"/>
      <c r="FD244" s="642"/>
      <c r="FE244" s="642"/>
      <c r="FF244" s="642"/>
      <c r="FG244" s="642"/>
      <c r="FH244" s="642"/>
      <c r="FI244" s="642"/>
      <c r="FJ244" s="642"/>
      <c r="FK244" s="642"/>
      <c r="FL244" s="642"/>
      <c r="FM244" s="642"/>
      <c r="FN244" s="642"/>
      <c r="FO244" s="642"/>
      <c r="FP244" s="642"/>
      <c r="FQ244" s="642"/>
      <c r="FR244" s="642"/>
      <c r="FS244" s="642"/>
      <c r="FT244" s="642"/>
      <c r="FU244" s="642"/>
      <c r="FV244" s="642"/>
      <c r="FW244" s="642"/>
      <c r="FX244" s="642"/>
      <c r="FY244" s="642"/>
      <c r="FZ244" s="642"/>
      <c r="GA244" s="642"/>
      <c r="GB244" s="642"/>
      <c r="GC244" s="642"/>
      <c r="GD244" s="642"/>
      <c r="GE244" s="642"/>
      <c r="GF244" s="642"/>
      <c r="GG244" s="642"/>
      <c r="GH244" s="642"/>
      <c r="GI244" s="642"/>
      <c r="GJ244" s="642"/>
      <c r="GK244" s="642"/>
      <c r="GL244" s="642"/>
      <c r="GM244" s="642"/>
      <c r="GN244" s="642"/>
      <c r="GO244" s="642"/>
      <c r="GP244" s="642"/>
      <c r="GQ244" s="642"/>
      <c r="GR244" s="642"/>
      <c r="GS244" s="642"/>
      <c r="GT244" s="642"/>
      <c r="GU244" s="642"/>
      <c r="GV244" s="642"/>
      <c r="GW244" s="642"/>
      <c r="GX244" s="642"/>
      <c r="GY244" s="642"/>
      <c r="GZ244" s="642"/>
      <c r="HA244" s="642"/>
      <c r="HB244" s="642"/>
      <c r="HC244" s="642"/>
      <c r="HD244" s="642"/>
      <c r="HE244" s="642"/>
      <c r="HF244" s="642"/>
      <c r="HG244" s="642"/>
      <c r="HH244" s="642"/>
      <c r="HI244" s="642"/>
      <c r="HJ244" s="642"/>
      <c r="HK244" s="642"/>
      <c r="HL244" s="642"/>
      <c r="HM244" s="642"/>
      <c r="HN244" s="642"/>
      <c r="HO244" s="642"/>
      <c r="HP244" s="642"/>
      <c r="HQ244" s="642"/>
      <c r="HR244" s="642"/>
      <c r="HS244" s="642"/>
      <c r="HT244" s="642"/>
      <c r="HU244" s="642"/>
      <c r="HV244" s="642"/>
      <c r="HW244" s="642"/>
      <c r="HX244" s="642"/>
      <c r="HY244" s="642"/>
      <c r="HZ244" s="642"/>
      <c r="IA244" s="642"/>
      <c r="IB244" s="642"/>
      <c r="IC244" s="642"/>
      <c r="ID244" s="642"/>
      <c r="IE244" s="642"/>
      <c r="IF244" s="642"/>
      <c r="IG244" s="642"/>
      <c r="IH244" s="642"/>
      <c r="II244" s="642"/>
      <c r="IJ244" s="642"/>
      <c r="IK244" s="642"/>
      <c r="IL244" s="642"/>
      <c r="IM244" s="642"/>
      <c r="IN244" s="642"/>
      <c r="IO244" s="642"/>
    </row>
    <row r="245" spans="1:249" ht="20.25" customHeight="1" x14ac:dyDescent="0.25">
      <c r="A245" s="651" t="s">
        <v>563</v>
      </c>
      <c r="B245" s="461" t="s">
        <v>411</v>
      </c>
      <c r="C245" s="652">
        <v>140</v>
      </c>
      <c r="D245" s="653">
        <v>95</v>
      </c>
      <c r="E245" s="557">
        <v>100</v>
      </c>
      <c r="F245" s="641"/>
      <c r="G245" s="642"/>
      <c r="H245" s="642"/>
      <c r="I245" s="642"/>
      <c r="J245" s="642"/>
      <c r="K245" s="642"/>
      <c r="L245" s="642"/>
      <c r="M245" s="642"/>
      <c r="N245" s="642"/>
      <c r="O245" s="642"/>
      <c r="P245" s="642"/>
      <c r="Q245" s="642"/>
      <c r="R245" s="642"/>
      <c r="S245" s="642"/>
      <c r="T245" s="642"/>
      <c r="U245" s="642"/>
      <c r="V245" s="642"/>
      <c r="W245" s="642"/>
      <c r="X245" s="642"/>
      <c r="Y245" s="642"/>
      <c r="Z245" s="642"/>
      <c r="AA245" s="642"/>
      <c r="AB245" s="642"/>
      <c r="AC245" s="642"/>
      <c r="AD245" s="642"/>
      <c r="AE245" s="642"/>
      <c r="AF245" s="642"/>
      <c r="AG245" s="642"/>
      <c r="AH245" s="642"/>
      <c r="AI245" s="642"/>
      <c r="AJ245" s="642"/>
      <c r="AK245" s="642"/>
      <c r="AL245" s="642"/>
      <c r="AM245" s="642"/>
      <c r="AN245" s="642"/>
      <c r="AO245" s="642"/>
      <c r="AP245" s="642"/>
      <c r="AQ245" s="642"/>
      <c r="AR245" s="642"/>
      <c r="AS245" s="642"/>
      <c r="AT245" s="642"/>
      <c r="AU245" s="642"/>
      <c r="AV245" s="642"/>
      <c r="AW245" s="642"/>
      <c r="AX245" s="642"/>
      <c r="AY245" s="642"/>
      <c r="AZ245" s="642"/>
      <c r="BA245" s="642"/>
      <c r="BB245" s="642"/>
      <c r="BC245" s="642"/>
      <c r="BD245" s="642"/>
      <c r="BE245" s="642"/>
      <c r="BF245" s="642"/>
      <c r="BG245" s="642"/>
      <c r="BH245" s="642"/>
      <c r="BI245" s="642"/>
      <c r="BJ245" s="642"/>
      <c r="BK245" s="642"/>
      <c r="BL245" s="642"/>
      <c r="BM245" s="642"/>
      <c r="BN245" s="642"/>
      <c r="BO245" s="642"/>
      <c r="BP245" s="642"/>
      <c r="BQ245" s="642"/>
      <c r="BR245" s="642"/>
      <c r="BS245" s="642"/>
      <c r="BT245" s="642"/>
      <c r="BU245" s="642"/>
      <c r="BV245" s="642"/>
      <c r="BW245" s="642"/>
      <c r="BX245" s="642"/>
      <c r="BY245" s="642"/>
      <c r="BZ245" s="642"/>
      <c r="CA245" s="642"/>
      <c r="CB245" s="642"/>
      <c r="CC245" s="642"/>
      <c r="CD245" s="642"/>
      <c r="CE245" s="642"/>
      <c r="CF245" s="642"/>
      <c r="CG245" s="642"/>
      <c r="CH245" s="642"/>
      <c r="CI245" s="642"/>
      <c r="CJ245" s="642"/>
      <c r="CK245" s="642"/>
      <c r="CL245" s="642"/>
      <c r="CM245" s="642"/>
      <c r="CN245" s="642"/>
      <c r="CO245" s="642"/>
      <c r="CP245" s="642"/>
      <c r="CQ245" s="642"/>
      <c r="CR245" s="642"/>
      <c r="CS245" s="642"/>
      <c r="CT245" s="642"/>
      <c r="CU245" s="642"/>
      <c r="CV245" s="642"/>
      <c r="CW245" s="642"/>
      <c r="CX245" s="642"/>
      <c r="CY245" s="642"/>
      <c r="CZ245" s="642"/>
      <c r="DA245" s="642"/>
      <c r="DB245" s="642"/>
      <c r="DC245" s="642"/>
      <c r="DD245" s="642"/>
      <c r="DE245" s="642"/>
      <c r="DF245" s="642"/>
      <c r="DG245" s="642"/>
      <c r="DH245" s="642"/>
      <c r="DI245" s="642"/>
      <c r="DJ245" s="642"/>
      <c r="DK245" s="642"/>
      <c r="DL245" s="642"/>
      <c r="DM245" s="642"/>
      <c r="DN245" s="642"/>
      <c r="DO245" s="642"/>
      <c r="DP245" s="642"/>
      <c r="DQ245" s="642"/>
      <c r="DR245" s="642"/>
      <c r="DS245" s="642"/>
      <c r="DT245" s="642"/>
      <c r="DU245" s="642"/>
      <c r="DV245" s="642"/>
      <c r="DW245" s="642"/>
      <c r="DX245" s="642"/>
      <c r="DY245" s="642"/>
      <c r="DZ245" s="642"/>
      <c r="EA245" s="642"/>
      <c r="EB245" s="642"/>
      <c r="EC245" s="642"/>
      <c r="ED245" s="642"/>
      <c r="EE245" s="642"/>
      <c r="EF245" s="642"/>
      <c r="EG245" s="642"/>
      <c r="EH245" s="642"/>
      <c r="EI245" s="642"/>
      <c r="EJ245" s="642"/>
      <c r="EK245" s="642"/>
      <c r="EL245" s="642"/>
      <c r="EM245" s="642"/>
      <c r="EN245" s="642"/>
      <c r="EO245" s="642"/>
      <c r="EP245" s="642"/>
      <c r="EQ245" s="642"/>
      <c r="ER245" s="642"/>
      <c r="ES245" s="642"/>
      <c r="ET245" s="642"/>
      <c r="EU245" s="642"/>
      <c r="EV245" s="642"/>
      <c r="EW245" s="642"/>
      <c r="EX245" s="642"/>
      <c r="EY245" s="642"/>
      <c r="EZ245" s="642"/>
      <c r="FA245" s="642"/>
      <c r="FB245" s="642"/>
      <c r="FC245" s="642"/>
      <c r="FD245" s="642"/>
      <c r="FE245" s="642"/>
      <c r="FF245" s="642"/>
      <c r="FG245" s="642"/>
      <c r="FH245" s="642"/>
      <c r="FI245" s="642"/>
      <c r="FJ245" s="642"/>
      <c r="FK245" s="642"/>
      <c r="FL245" s="642"/>
      <c r="FM245" s="642"/>
      <c r="FN245" s="642"/>
      <c r="FO245" s="642"/>
      <c r="FP245" s="642"/>
      <c r="FQ245" s="642"/>
      <c r="FR245" s="642"/>
      <c r="FS245" s="642"/>
      <c r="FT245" s="642"/>
      <c r="FU245" s="642"/>
      <c r="FV245" s="642"/>
      <c r="FW245" s="642"/>
      <c r="FX245" s="642"/>
      <c r="FY245" s="642"/>
      <c r="FZ245" s="642"/>
      <c r="GA245" s="642"/>
      <c r="GB245" s="642"/>
      <c r="GC245" s="642"/>
      <c r="GD245" s="642"/>
      <c r="GE245" s="642"/>
      <c r="GF245" s="642"/>
      <c r="GG245" s="642"/>
      <c r="GH245" s="642"/>
      <c r="GI245" s="642"/>
      <c r="GJ245" s="642"/>
      <c r="GK245" s="642"/>
      <c r="GL245" s="642"/>
      <c r="GM245" s="642"/>
      <c r="GN245" s="642"/>
      <c r="GO245" s="642"/>
      <c r="GP245" s="642"/>
      <c r="GQ245" s="642"/>
      <c r="GR245" s="642"/>
      <c r="GS245" s="642"/>
      <c r="GT245" s="642"/>
      <c r="GU245" s="642"/>
      <c r="GV245" s="642"/>
      <c r="GW245" s="642"/>
      <c r="GX245" s="642"/>
      <c r="GY245" s="642"/>
      <c r="GZ245" s="642"/>
      <c r="HA245" s="642"/>
      <c r="HB245" s="642"/>
      <c r="HC245" s="642"/>
      <c r="HD245" s="642"/>
      <c r="HE245" s="642"/>
      <c r="HF245" s="642"/>
      <c r="HG245" s="642"/>
      <c r="HH245" s="642"/>
      <c r="HI245" s="642"/>
      <c r="HJ245" s="642"/>
      <c r="HK245" s="642"/>
      <c r="HL245" s="642"/>
      <c r="HM245" s="642"/>
      <c r="HN245" s="642"/>
      <c r="HO245" s="642"/>
      <c r="HP245" s="642"/>
      <c r="HQ245" s="642"/>
      <c r="HR245" s="642"/>
      <c r="HS245" s="642"/>
      <c r="HT245" s="642"/>
      <c r="HU245" s="642"/>
      <c r="HV245" s="642"/>
      <c r="HW245" s="642"/>
      <c r="HX245" s="642"/>
      <c r="HY245" s="642"/>
      <c r="HZ245" s="642"/>
      <c r="IA245" s="642"/>
      <c r="IB245" s="642"/>
      <c r="IC245" s="642"/>
      <c r="ID245" s="642"/>
      <c r="IE245" s="642"/>
      <c r="IF245" s="642"/>
      <c r="IG245" s="642"/>
      <c r="IH245" s="642"/>
      <c r="II245" s="642"/>
      <c r="IJ245" s="642"/>
      <c r="IK245" s="642"/>
      <c r="IL245" s="642"/>
      <c r="IM245" s="642"/>
      <c r="IN245" s="642"/>
      <c r="IO245" s="642"/>
    </row>
    <row r="246" spans="1:249" ht="31.5" customHeight="1" x14ac:dyDescent="0.25">
      <c r="A246" s="648" t="s">
        <v>564</v>
      </c>
      <c r="B246" s="461" t="s">
        <v>411</v>
      </c>
      <c r="C246" s="652">
        <v>1600</v>
      </c>
      <c r="D246" s="654">
        <v>2103</v>
      </c>
      <c r="E246" s="557">
        <v>100</v>
      </c>
      <c r="F246" s="641"/>
      <c r="G246" s="642"/>
      <c r="H246" s="642"/>
      <c r="I246" s="642"/>
      <c r="J246" s="642"/>
      <c r="K246" s="642"/>
      <c r="L246" s="642"/>
      <c r="M246" s="642"/>
      <c r="N246" s="642"/>
      <c r="O246" s="642"/>
      <c r="P246" s="642"/>
      <c r="Q246" s="642"/>
      <c r="R246" s="642"/>
      <c r="S246" s="642"/>
      <c r="T246" s="642"/>
      <c r="U246" s="642"/>
      <c r="V246" s="642"/>
      <c r="W246" s="642"/>
      <c r="X246" s="642"/>
      <c r="Y246" s="642"/>
      <c r="Z246" s="642"/>
      <c r="AA246" s="642"/>
      <c r="AB246" s="642"/>
      <c r="AC246" s="642"/>
      <c r="AD246" s="642"/>
      <c r="AE246" s="642"/>
      <c r="AF246" s="642"/>
      <c r="AG246" s="642"/>
      <c r="AH246" s="642"/>
      <c r="AI246" s="642"/>
      <c r="AJ246" s="642"/>
      <c r="AK246" s="642"/>
      <c r="AL246" s="642"/>
      <c r="AM246" s="642"/>
      <c r="AN246" s="642"/>
      <c r="AO246" s="642"/>
      <c r="AP246" s="642"/>
      <c r="AQ246" s="642"/>
      <c r="AR246" s="642"/>
      <c r="AS246" s="642"/>
      <c r="AT246" s="642"/>
      <c r="AU246" s="642"/>
      <c r="AV246" s="642"/>
      <c r="AW246" s="642"/>
      <c r="AX246" s="642"/>
      <c r="AY246" s="642"/>
      <c r="AZ246" s="642"/>
      <c r="BA246" s="642"/>
      <c r="BB246" s="642"/>
      <c r="BC246" s="642"/>
      <c r="BD246" s="642"/>
      <c r="BE246" s="642"/>
      <c r="BF246" s="642"/>
      <c r="BG246" s="642"/>
      <c r="BH246" s="642"/>
      <c r="BI246" s="642"/>
      <c r="BJ246" s="642"/>
      <c r="BK246" s="642"/>
      <c r="BL246" s="642"/>
      <c r="BM246" s="642"/>
      <c r="BN246" s="642"/>
      <c r="BO246" s="642"/>
      <c r="BP246" s="642"/>
      <c r="BQ246" s="642"/>
      <c r="BR246" s="642"/>
      <c r="BS246" s="642"/>
      <c r="BT246" s="642"/>
      <c r="BU246" s="642"/>
      <c r="BV246" s="642"/>
      <c r="BW246" s="642"/>
      <c r="BX246" s="642"/>
      <c r="BY246" s="642"/>
      <c r="BZ246" s="642"/>
      <c r="CA246" s="642"/>
      <c r="CB246" s="642"/>
      <c r="CC246" s="642"/>
      <c r="CD246" s="642"/>
      <c r="CE246" s="642"/>
      <c r="CF246" s="642"/>
      <c r="CG246" s="642"/>
      <c r="CH246" s="642"/>
      <c r="CI246" s="642"/>
      <c r="CJ246" s="642"/>
      <c r="CK246" s="642"/>
      <c r="CL246" s="642"/>
      <c r="CM246" s="642"/>
      <c r="CN246" s="642"/>
      <c r="CO246" s="642"/>
      <c r="CP246" s="642"/>
      <c r="CQ246" s="642"/>
      <c r="CR246" s="642"/>
      <c r="CS246" s="642"/>
      <c r="CT246" s="642"/>
      <c r="CU246" s="642"/>
      <c r="CV246" s="642"/>
      <c r="CW246" s="642"/>
      <c r="CX246" s="642"/>
      <c r="CY246" s="642"/>
      <c r="CZ246" s="642"/>
      <c r="DA246" s="642"/>
      <c r="DB246" s="642"/>
      <c r="DC246" s="642"/>
      <c r="DD246" s="642"/>
      <c r="DE246" s="642"/>
      <c r="DF246" s="642"/>
      <c r="DG246" s="642"/>
      <c r="DH246" s="642"/>
      <c r="DI246" s="642"/>
      <c r="DJ246" s="642"/>
      <c r="DK246" s="642"/>
      <c r="DL246" s="642"/>
      <c r="DM246" s="642"/>
      <c r="DN246" s="642"/>
      <c r="DO246" s="642"/>
      <c r="DP246" s="642"/>
      <c r="DQ246" s="642"/>
      <c r="DR246" s="642"/>
      <c r="DS246" s="642"/>
      <c r="DT246" s="642"/>
      <c r="DU246" s="642"/>
      <c r="DV246" s="642"/>
      <c r="DW246" s="642"/>
      <c r="DX246" s="642"/>
      <c r="DY246" s="642"/>
      <c r="DZ246" s="642"/>
      <c r="EA246" s="642"/>
      <c r="EB246" s="642"/>
      <c r="EC246" s="642"/>
      <c r="ED246" s="642"/>
      <c r="EE246" s="642"/>
      <c r="EF246" s="642"/>
      <c r="EG246" s="642"/>
      <c r="EH246" s="642"/>
      <c r="EI246" s="642"/>
      <c r="EJ246" s="642"/>
      <c r="EK246" s="642"/>
      <c r="EL246" s="642"/>
      <c r="EM246" s="642"/>
      <c r="EN246" s="642"/>
      <c r="EO246" s="642"/>
      <c r="EP246" s="642"/>
      <c r="EQ246" s="642"/>
      <c r="ER246" s="642"/>
      <c r="ES246" s="642"/>
      <c r="ET246" s="642"/>
      <c r="EU246" s="642"/>
      <c r="EV246" s="642"/>
      <c r="EW246" s="642"/>
      <c r="EX246" s="642"/>
      <c r="EY246" s="642"/>
      <c r="EZ246" s="642"/>
      <c r="FA246" s="642"/>
      <c r="FB246" s="642"/>
      <c r="FC246" s="642"/>
      <c r="FD246" s="642"/>
      <c r="FE246" s="642"/>
      <c r="FF246" s="642"/>
      <c r="FG246" s="642"/>
      <c r="FH246" s="642"/>
      <c r="FI246" s="642"/>
      <c r="FJ246" s="642"/>
      <c r="FK246" s="642"/>
      <c r="FL246" s="642"/>
      <c r="FM246" s="642"/>
      <c r="FN246" s="642"/>
      <c r="FO246" s="642"/>
      <c r="FP246" s="642"/>
      <c r="FQ246" s="642"/>
      <c r="FR246" s="642"/>
      <c r="FS246" s="642"/>
      <c r="FT246" s="642"/>
      <c r="FU246" s="642"/>
      <c r="FV246" s="642"/>
      <c r="FW246" s="642"/>
      <c r="FX246" s="642"/>
      <c r="FY246" s="642"/>
      <c r="FZ246" s="642"/>
      <c r="GA246" s="642"/>
      <c r="GB246" s="642"/>
      <c r="GC246" s="642"/>
      <c r="GD246" s="642"/>
      <c r="GE246" s="642"/>
      <c r="GF246" s="642"/>
      <c r="GG246" s="642"/>
      <c r="GH246" s="642"/>
      <c r="GI246" s="642"/>
      <c r="GJ246" s="642"/>
      <c r="GK246" s="642"/>
      <c r="GL246" s="642"/>
      <c r="GM246" s="642"/>
      <c r="GN246" s="642"/>
      <c r="GO246" s="642"/>
      <c r="GP246" s="642"/>
      <c r="GQ246" s="642"/>
      <c r="GR246" s="642"/>
      <c r="GS246" s="642"/>
      <c r="GT246" s="642"/>
      <c r="GU246" s="642"/>
      <c r="GV246" s="642"/>
      <c r="GW246" s="642"/>
      <c r="GX246" s="642"/>
      <c r="GY246" s="642"/>
      <c r="GZ246" s="642"/>
      <c r="HA246" s="642"/>
      <c r="HB246" s="642"/>
      <c r="HC246" s="642"/>
      <c r="HD246" s="642"/>
      <c r="HE246" s="642"/>
      <c r="HF246" s="642"/>
      <c r="HG246" s="642"/>
      <c r="HH246" s="642"/>
      <c r="HI246" s="642"/>
      <c r="HJ246" s="642"/>
      <c r="HK246" s="642"/>
      <c r="HL246" s="642"/>
      <c r="HM246" s="642"/>
      <c r="HN246" s="642"/>
      <c r="HO246" s="642"/>
      <c r="HP246" s="642"/>
      <c r="HQ246" s="642"/>
      <c r="HR246" s="642"/>
      <c r="HS246" s="642"/>
      <c r="HT246" s="642"/>
      <c r="HU246" s="642"/>
      <c r="HV246" s="642"/>
      <c r="HW246" s="642"/>
      <c r="HX246" s="642"/>
      <c r="HY246" s="642"/>
      <c r="HZ246" s="642"/>
      <c r="IA246" s="642"/>
      <c r="IB246" s="642"/>
      <c r="IC246" s="642"/>
      <c r="ID246" s="642"/>
      <c r="IE246" s="642"/>
      <c r="IF246" s="642"/>
      <c r="IG246" s="642"/>
      <c r="IH246" s="642"/>
      <c r="II246" s="642"/>
      <c r="IJ246" s="642"/>
      <c r="IK246" s="642"/>
      <c r="IL246" s="642"/>
      <c r="IM246" s="642"/>
      <c r="IN246" s="642"/>
      <c r="IO246" s="642"/>
    </row>
    <row r="247" spans="1:249" ht="20.25" customHeight="1" x14ac:dyDescent="0.25">
      <c r="A247" s="648" t="s">
        <v>565</v>
      </c>
      <c r="B247" s="461" t="s">
        <v>395</v>
      </c>
      <c r="C247" s="652">
        <v>410</v>
      </c>
      <c r="D247" s="655">
        <v>3886</v>
      </c>
      <c r="E247" s="557">
        <v>100</v>
      </c>
      <c r="F247" s="641"/>
      <c r="G247" s="642"/>
      <c r="H247" s="642"/>
      <c r="I247" s="642"/>
      <c r="J247" s="642"/>
      <c r="K247" s="642"/>
      <c r="L247" s="642"/>
      <c r="M247" s="642"/>
      <c r="N247" s="642"/>
      <c r="O247" s="642"/>
      <c r="P247" s="642"/>
      <c r="Q247" s="642"/>
      <c r="R247" s="642"/>
      <c r="S247" s="642"/>
      <c r="T247" s="642"/>
      <c r="U247" s="642"/>
      <c r="V247" s="642"/>
      <c r="W247" s="642"/>
      <c r="X247" s="642"/>
      <c r="Y247" s="642"/>
      <c r="Z247" s="642"/>
      <c r="AA247" s="642"/>
      <c r="AB247" s="642"/>
      <c r="AC247" s="642"/>
      <c r="AD247" s="642"/>
      <c r="AE247" s="642"/>
      <c r="AF247" s="642"/>
      <c r="AG247" s="642"/>
      <c r="AH247" s="642"/>
      <c r="AI247" s="642"/>
      <c r="AJ247" s="642"/>
      <c r="AK247" s="642"/>
      <c r="AL247" s="642"/>
      <c r="AM247" s="642"/>
      <c r="AN247" s="642"/>
      <c r="AO247" s="642"/>
      <c r="AP247" s="642"/>
      <c r="AQ247" s="642"/>
      <c r="AR247" s="642"/>
      <c r="AS247" s="642"/>
      <c r="AT247" s="642"/>
      <c r="AU247" s="642"/>
      <c r="AV247" s="642"/>
      <c r="AW247" s="642"/>
      <c r="AX247" s="642"/>
      <c r="AY247" s="642"/>
      <c r="AZ247" s="642"/>
      <c r="BA247" s="642"/>
      <c r="BB247" s="642"/>
      <c r="BC247" s="642"/>
      <c r="BD247" s="642"/>
      <c r="BE247" s="642"/>
      <c r="BF247" s="642"/>
      <c r="BG247" s="642"/>
      <c r="BH247" s="642"/>
      <c r="BI247" s="642"/>
      <c r="BJ247" s="642"/>
      <c r="BK247" s="642"/>
      <c r="BL247" s="642"/>
      <c r="BM247" s="642"/>
      <c r="BN247" s="642"/>
      <c r="BO247" s="642"/>
      <c r="BP247" s="642"/>
      <c r="BQ247" s="642"/>
      <c r="BR247" s="642"/>
      <c r="BS247" s="642"/>
      <c r="BT247" s="642"/>
      <c r="BU247" s="642"/>
      <c r="BV247" s="642"/>
      <c r="BW247" s="642"/>
      <c r="BX247" s="642"/>
      <c r="BY247" s="642"/>
      <c r="BZ247" s="642"/>
      <c r="CA247" s="642"/>
      <c r="CB247" s="642"/>
      <c r="CC247" s="642"/>
      <c r="CD247" s="642"/>
      <c r="CE247" s="642"/>
      <c r="CF247" s="642"/>
      <c r="CG247" s="642"/>
      <c r="CH247" s="642"/>
      <c r="CI247" s="642"/>
      <c r="CJ247" s="642"/>
      <c r="CK247" s="642"/>
      <c r="CL247" s="642"/>
      <c r="CM247" s="642"/>
      <c r="CN247" s="642"/>
      <c r="CO247" s="642"/>
      <c r="CP247" s="642"/>
      <c r="CQ247" s="642"/>
      <c r="CR247" s="642"/>
      <c r="CS247" s="642"/>
      <c r="CT247" s="642"/>
      <c r="CU247" s="642"/>
      <c r="CV247" s="642"/>
      <c r="CW247" s="642"/>
      <c r="CX247" s="642"/>
      <c r="CY247" s="642"/>
      <c r="CZ247" s="642"/>
      <c r="DA247" s="642"/>
      <c r="DB247" s="642"/>
      <c r="DC247" s="642"/>
      <c r="DD247" s="642"/>
      <c r="DE247" s="642"/>
      <c r="DF247" s="642"/>
      <c r="DG247" s="642"/>
      <c r="DH247" s="642"/>
      <c r="DI247" s="642"/>
      <c r="DJ247" s="642"/>
      <c r="DK247" s="642"/>
      <c r="DL247" s="642"/>
      <c r="DM247" s="642"/>
      <c r="DN247" s="642"/>
      <c r="DO247" s="642"/>
      <c r="DP247" s="642"/>
      <c r="DQ247" s="642"/>
      <c r="DR247" s="642"/>
      <c r="DS247" s="642"/>
      <c r="DT247" s="642"/>
      <c r="DU247" s="642"/>
      <c r="DV247" s="642"/>
      <c r="DW247" s="642"/>
      <c r="DX247" s="642"/>
      <c r="DY247" s="642"/>
      <c r="DZ247" s="642"/>
      <c r="EA247" s="642"/>
      <c r="EB247" s="642"/>
      <c r="EC247" s="642"/>
      <c r="ED247" s="642"/>
      <c r="EE247" s="642"/>
      <c r="EF247" s="642"/>
      <c r="EG247" s="642"/>
      <c r="EH247" s="642"/>
      <c r="EI247" s="642"/>
      <c r="EJ247" s="642"/>
      <c r="EK247" s="642"/>
      <c r="EL247" s="642"/>
      <c r="EM247" s="642"/>
      <c r="EN247" s="642"/>
      <c r="EO247" s="642"/>
      <c r="EP247" s="642"/>
      <c r="EQ247" s="642"/>
      <c r="ER247" s="642"/>
      <c r="ES247" s="642"/>
      <c r="ET247" s="642"/>
      <c r="EU247" s="642"/>
      <c r="EV247" s="642"/>
      <c r="EW247" s="642"/>
      <c r="EX247" s="642"/>
      <c r="EY247" s="642"/>
      <c r="EZ247" s="642"/>
      <c r="FA247" s="642"/>
      <c r="FB247" s="642"/>
      <c r="FC247" s="642"/>
      <c r="FD247" s="642"/>
      <c r="FE247" s="642"/>
      <c r="FF247" s="642"/>
      <c r="FG247" s="642"/>
      <c r="FH247" s="642"/>
      <c r="FI247" s="642"/>
      <c r="FJ247" s="642"/>
      <c r="FK247" s="642"/>
      <c r="FL247" s="642"/>
      <c r="FM247" s="642"/>
      <c r="FN247" s="642"/>
      <c r="FO247" s="642"/>
      <c r="FP247" s="642"/>
      <c r="FQ247" s="642"/>
      <c r="FR247" s="642"/>
      <c r="FS247" s="642"/>
      <c r="FT247" s="642"/>
      <c r="FU247" s="642"/>
      <c r="FV247" s="642"/>
      <c r="FW247" s="642"/>
      <c r="FX247" s="642"/>
      <c r="FY247" s="642"/>
      <c r="FZ247" s="642"/>
      <c r="GA247" s="642"/>
      <c r="GB247" s="642"/>
      <c r="GC247" s="642"/>
      <c r="GD247" s="642"/>
      <c r="GE247" s="642"/>
      <c r="GF247" s="642"/>
      <c r="GG247" s="642"/>
      <c r="GH247" s="642"/>
      <c r="GI247" s="642"/>
      <c r="GJ247" s="642"/>
      <c r="GK247" s="642"/>
      <c r="GL247" s="642"/>
      <c r="GM247" s="642"/>
      <c r="GN247" s="642"/>
      <c r="GO247" s="642"/>
      <c r="GP247" s="642"/>
      <c r="GQ247" s="642"/>
      <c r="GR247" s="642"/>
      <c r="GS247" s="642"/>
      <c r="GT247" s="642"/>
      <c r="GU247" s="642"/>
      <c r="GV247" s="642"/>
      <c r="GW247" s="642"/>
      <c r="GX247" s="642"/>
      <c r="GY247" s="642"/>
      <c r="GZ247" s="642"/>
      <c r="HA247" s="642"/>
      <c r="HB247" s="642"/>
      <c r="HC247" s="642"/>
      <c r="HD247" s="642"/>
      <c r="HE247" s="642"/>
      <c r="HF247" s="642"/>
      <c r="HG247" s="642"/>
      <c r="HH247" s="642"/>
      <c r="HI247" s="642"/>
      <c r="HJ247" s="642"/>
      <c r="HK247" s="642"/>
      <c r="HL247" s="642"/>
      <c r="HM247" s="642"/>
      <c r="HN247" s="642"/>
      <c r="HO247" s="642"/>
      <c r="HP247" s="642"/>
      <c r="HQ247" s="642"/>
      <c r="HR247" s="642"/>
      <c r="HS247" s="642"/>
      <c r="HT247" s="642"/>
      <c r="HU247" s="642"/>
      <c r="HV247" s="642"/>
      <c r="HW247" s="642"/>
      <c r="HX247" s="642"/>
      <c r="HY247" s="642"/>
      <c r="HZ247" s="642"/>
      <c r="IA247" s="642"/>
      <c r="IB247" s="642"/>
      <c r="IC247" s="642"/>
      <c r="ID247" s="642"/>
      <c r="IE247" s="642"/>
      <c r="IF247" s="642"/>
      <c r="IG247" s="642"/>
      <c r="IH247" s="642"/>
      <c r="II247" s="642"/>
      <c r="IJ247" s="642"/>
      <c r="IK247" s="642"/>
      <c r="IL247" s="642"/>
      <c r="IM247" s="642"/>
      <c r="IN247" s="642"/>
      <c r="IO247" s="642"/>
    </row>
    <row r="248" spans="1:249" ht="35.25" customHeight="1" x14ac:dyDescent="0.25">
      <c r="A248" s="648" t="s">
        <v>854</v>
      </c>
      <c r="B248" s="461" t="s">
        <v>395</v>
      </c>
      <c r="C248" s="652">
        <v>51</v>
      </c>
      <c r="D248" s="655">
        <v>51</v>
      </c>
      <c r="E248" s="557">
        <f t="shared" ref="E248:E251" si="16">D248/C248*100</f>
        <v>100</v>
      </c>
      <c r="F248" s="641"/>
      <c r="G248" s="642"/>
      <c r="H248" s="642"/>
      <c r="I248" s="642"/>
      <c r="J248" s="642"/>
      <c r="K248" s="642"/>
      <c r="L248" s="642"/>
      <c r="M248" s="642"/>
      <c r="N248" s="642"/>
      <c r="O248" s="642"/>
      <c r="P248" s="642"/>
      <c r="Q248" s="642"/>
      <c r="R248" s="642"/>
      <c r="S248" s="642"/>
      <c r="T248" s="642"/>
      <c r="U248" s="642"/>
      <c r="V248" s="642"/>
      <c r="W248" s="642"/>
      <c r="X248" s="642"/>
      <c r="Y248" s="642"/>
      <c r="Z248" s="642"/>
      <c r="AA248" s="642"/>
      <c r="AB248" s="642"/>
      <c r="AC248" s="642"/>
      <c r="AD248" s="642"/>
      <c r="AE248" s="642"/>
      <c r="AF248" s="642"/>
      <c r="AG248" s="642"/>
      <c r="AH248" s="642"/>
      <c r="AI248" s="642"/>
      <c r="AJ248" s="642"/>
      <c r="AK248" s="642"/>
      <c r="AL248" s="642"/>
      <c r="AM248" s="642"/>
      <c r="AN248" s="642"/>
      <c r="AO248" s="642"/>
      <c r="AP248" s="642"/>
      <c r="AQ248" s="642"/>
      <c r="AR248" s="642"/>
      <c r="AS248" s="642"/>
      <c r="AT248" s="642"/>
      <c r="AU248" s="642"/>
      <c r="AV248" s="642"/>
      <c r="AW248" s="642"/>
      <c r="AX248" s="642"/>
      <c r="AY248" s="642"/>
      <c r="AZ248" s="642"/>
      <c r="BA248" s="642"/>
      <c r="BB248" s="642"/>
      <c r="BC248" s="642"/>
      <c r="BD248" s="642"/>
      <c r="BE248" s="642"/>
      <c r="BF248" s="642"/>
      <c r="BG248" s="642"/>
      <c r="BH248" s="642"/>
      <c r="BI248" s="642"/>
      <c r="BJ248" s="642"/>
      <c r="BK248" s="642"/>
      <c r="BL248" s="642"/>
      <c r="BM248" s="642"/>
      <c r="BN248" s="642"/>
      <c r="BO248" s="642"/>
      <c r="BP248" s="642"/>
      <c r="BQ248" s="642"/>
      <c r="BR248" s="642"/>
      <c r="BS248" s="642"/>
      <c r="BT248" s="642"/>
      <c r="BU248" s="642"/>
      <c r="BV248" s="642"/>
      <c r="BW248" s="642"/>
      <c r="BX248" s="642"/>
      <c r="BY248" s="642"/>
      <c r="BZ248" s="642"/>
      <c r="CA248" s="642"/>
      <c r="CB248" s="642"/>
      <c r="CC248" s="642"/>
      <c r="CD248" s="642"/>
      <c r="CE248" s="642"/>
      <c r="CF248" s="642"/>
      <c r="CG248" s="642"/>
      <c r="CH248" s="642"/>
      <c r="CI248" s="642"/>
      <c r="CJ248" s="642"/>
      <c r="CK248" s="642"/>
      <c r="CL248" s="642"/>
      <c r="CM248" s="642"/>
      <c r="CN248" s="642"/>
      <c r="CO248" s="642"/>
      <c r="CP248" s="642"/>
      <c r="CQ248" s="642"/>
      <c r="CR248" s="642"/>
      <c r="CS248" s="642"/>
      <c r="CT248" s="642"/>
      <c r="CU248" s="642"/>
      <c r="CV248" s="642"/>
      <c r="CW248" s="642"/>
      <c r="CX248" s="642"/>
      <c r="CY248" s="642"/>
      <c r="CZ248" s="642"/>
      <c r="DA248" s="642"/>
      <c r="DB248" s="642"/>
      <c r="DC248" s="642"/>
      <c r="DD248" s="642"/>
      <c r="DE248" s="642"/>
      <c r="DF248" s="642"/>
      <c r="DG248" s="642"/>
      <c r="DH248" s="642"/>
      <c r="DI248" s="642"/>
      <c r="DJ248" s="642"/>
      <c r="DK248" s="642"/>
      <c r="DL248" s="642"/>
      <c r="DM248" s="642"/>
      <c r="DN248" s="642"/>
      <c r="DO248" s="642"/>
      <c r="DP248" s="642"/>
      <c r="DQ248" s="642"/>
      <c r="DR248" s="642"/>
      <c r="DS248" s="642"/>
      <c r="DT248" s="642"/>
      <c r="DU248" s="642"/>
      <c r="DV248" s="642"/>
      <c r="DW248" s="642"/>
      <c r="DX248" s="642"/>
      <c r="DY248" s="642"/>
      <c r="DZ248" s="642"/>
      <c r="EA248" s="642"/>
      <c r="EB248" s="642"/>
      <c r="EC248" s="642"/>
      <c r="ED248" s="642"/>
      <c r="EE248" s="642"/>
      <c r="EF248" s="642"/>
      <c r="EG248" s="642"/>
      <c r="EH248" s="642"/>
      <c r="EI248" s="642"/>
      <c r="EJ248" s="642"/>
      <c r="EK248" s="642"/>
      <c r="EL248" s="642"/>
      <c r="EM248" s="642"/>
      <c r="EN248" s="642"/>
      <c r="EO248" s="642"/>
      <c r="EP248" s="642"/>
      <c r="EQ248" s="642"/>
      <c r="ER248" s="642"/>
      <c r="ES248" s="642"/>
      <c r="ET248" s="642"/>
      <c r="EU248" s="642"/>
      <c r="EV248" s="642"/>
      <c r="EW248" s="642"/>
      <c r="EX248" s="642"/>
      <c r="EY248" s="642"/>
      <c r="EZ248" s="642"/>
      <c r="FA248" s="642"/>
      <c r="FB248" s="642"/>
      <c r="FC248" s="642"/>
      <c r="FD248" s="642"/>
      <c r="FE248" s="642"/>
      <c r="FF248" s="642"/>
      <c r="FG248" s="642"/>
      <c r="FH248" s="642"/>
      <c r="FI248" s="642"/>
      <c r="FJ248" s="642"/>
      <c r="FK248" s="642"/>
      <c r="FL248" s="642"/>
      <c r="FM248" s="642"/>
      <c r="FN248" s="642"/>
      <c r="FO248" s="642"/>
      <c r="FP248" s="642"/>
      <c r="FQ248" s="642"/>
      <c r="FR248" s="642"/>
      <c r="FS248" s="642"/>
      <c r="FT248" s="642"/>
      <c r="FU248" s="642"/>
      <c r="FV248" s="642"/>
      <c r="FW248" s="642"/>
      <c r="FX248" s="642"/>
      <c r="FY248" s="642"/>
      <c r="FZ248" s="642"/>
      <c r="GA248" s="642"/>
      <c r="GB248" s="642"/>
      <c r="GC248" s="642"/>
      <c r="GD248" s="642"/>
      <c r="GE248" s="642"/>
      <c r="GF248" s="642"/>
      <c r="GG248" s="642"/>
      <c r="GH248" s="642"/>
      <c r="GI248" s="642"/>
      <c r="GJ248" s="642"/>
      <c r="GK248" s="642"/>
      <c r="GL248" s="642"/>
      <c r="GM248" s="642"/>
      <c r="GN248" s="642"/>
      <c r="GO248" s="642"/>
      <c r="GP248" s="642"/>
      <c r="GQ248" s="642"/>
      <c r="GR248" s="642"/>
      <c r="GS248" s="642"/>
      <c r="GT248" s="642"/>
      <c r="GU248" s="642"/>
      <c r="GV248" s="642"/>
      <c r="GW248" s="642"/>
      <c r="GX248" s="642"/>
      <c r="GY248" s="642"/>
      <c r="GZ248" s="642"/>
      <c r="HA248" s="642"/>
      <c r="HB248" s="642"/>
      <c r="HC248" s="642"/>
      <c r="HD248" s="642"/>
      <c r="HE248" s="642"/>
      <c r="HF248" s="642"/>
      <c r="HG248" s="642"/>
      <c r="HH248" s="642"/>
      <c r="HI248" s="642"/>
      <c r="HJ248" s="642"/>
      <c r="HK248" s="642"/>
      <c r="HL248" s="642"/>
      <c r="HM248" s="642"/>
      <c r="HN248" s="642"/>
      <c r="HO248" s="642"/>
      <c r="HP248" s="642"/>
      <c r="HQ248" s="642"/>
      <c r="HR248" s="642"/>
      <c r="HS248" s="642"/>
      <c r="HT248" s="642"/>
      <c r="HU248" s="642"/>
      <c r="HV248" s="642"/>
      <c r="HW248" s="642"/>
      <c r="HX248" s="642"/>
      <c r="HY248" s="642"/>
      <c r="HZ248" s="642"/>
      <c r="IA248" s="642"/>
      <c r="IB248" s="642"/>
      <c r="IC248" s="642"/>
      <c r="ID248" s="642"/>
      <c r="IE248" s="642"/>
      <c r="IF248" s="642"/>
      <c r="IG248" s="642"/>
      <c r="IH248" s="642"/>
      <c r="II248" s="642"/>
      <c r="IJ248" s="642"/>
      <c r="IK248" s="642"/>
      <c r="IL248" s="642"/>
      <c r="IM248" s="642"/>
      <c r="IN248" s="642"/>
      <c r="IO248" s="642"/>
    </row>
    <row r="249" spans="1:249" ht="31.5" x14ac:dyDescent="0.25">
      <c r="A249" s="648" t="s">
        <v>566</v>
      </c>
      <c r="B249" s="461" t="s">
        <v>386</v>
      </c>
      <c r="C249" s="652">
        <v>22</v>
      </c>
      <c r="D249" s="655">
        <v>22</v>
      </c>
      <c r="E249" s="557">
        <f t="shared" si="16"/>
        <v>100</v>
      </c>
      <c r="F249" s="641"/>
      <c r="G249" s="642"/>
      <c r="H249" s="642"/>
      <c r="I249" s="642"/>
      <c r="J249" s="642"/>
      <c r="K249" s="642"/>
      <c r="L249" s="642"/>
      <c r="M249" s="642"/>
      <c r="N249" s="642"/>
      <c r="O249" s="642"/>
      <c r="P249" s="642"/>
      <c r="Q249" s="642"/>
      <c r="R249" s="642"/>
      <c r="S249" s="642"/>
      <c r="T249" s="642"/>
      <c r="U249" s="642"/>
      <c r="V249" s="642"/>
      <c r="W249" s="642"/>
      <c r="X249" s="642"/>
      <c r="Y249" s="642"/>
      <c r="Z249" s="642"/>
      <c r="AA249" s="642"/>
      <c r="AB249" s="642"/>
      <c r="AC249" s="642"/>
      <c r="AD249" s="642"/>
      <c r="AE249" s="642"/>
      <c r="AF249" s="642"/>
      <c r="AG249" s="642"/>
      <c r="AH249" s="642"/>
      <c r="AI249" s="642"/>
      <c r="AJ249" s="642"/>
      <c r="AK249" s="642"/>
      <c r="AL249" s="642"/>
      <c r="AM249" s="642"/>
      <c r="AN249" s="642"/>
      <c r="AO249" s="642"/>
      <c r="AP249" s="642"/>
      <c r="AQ249" s="642"/>
      <c r="AR249" s="642"/>
      <c r="AS249" s="642"/>
      <c r="AT249" s="642"/>
      <c r="AU249" s="642"/>
      <c r="AV249" s="642"/>
      <c r="AW249" s="642"/>
      <c r="AX249" s="642"/>
      <c r="AY249" s="642"/>
      <c r="AZ249" s="642"/>
      <c r="BA249" s="642"/>
      <c r="BB249" s="642"/>
      <c r="BC249" s="642"/>
      <c r="BD249" s="642"/>
      <c r="BE249" s="642"/>
      <c r="BF249" s="642"/>
      <c r="BG249" s="642"/>
      <c r="BH249" s="642"/>
      <c r="BI249" s="642"/>
      <c r="BJ249" s="642"/>
      <c r="BK249" s="642"/>
      <c r="BL249" s="642"/>
      <c r="BM249" s="642"/>
      <c r="BN249" s="642"/>
      <c r="BO249" s="642"/>
      <c r="BP249" s="642"/>
      <c r="BQ249" s="642"/>
      <c r="BR249" s="642"/>
      <c r="BS249" s="642"/>
      <c r="BT249" s="642"/>
      <c r="BU249" s="642"/>
      <c r="BV249" s="642"/>
      <c r="BW249" s="642"/>
      <c r="BX249" s="642"/>
      <c r="BY249" s="642"/>
      <c r="BZ249" s="642"/>
      <c r="CA249" s="642"/>
      <c r="CB249" s="642"/>
      <c r="CC249" s="642"/>
      <c r="CD249" s="642"/>
      <c r="CE249" s="642"/>
      <c r="CF249" s="642"/>
      <c r="CG249" s="642"/>
      <c r="CH249" s="642"/>
      <c r="CI249" s="642"/>
      <c r="CJ249" s="642"/>
      <c r="CK249" s="642"/>
      <c r="CL249" s="642"/>
      <c r="CM249" s="642"/>
      <c r="CN249" s="642"/>
      <c r="CO249" s="642"/>
      <c r="CP249" s="642"/>
      <c r="CQ249" s="642"/>
      <c r="CR249" s="642"/>
      <c r="CS249" s="642"/>
      <c r="CT249" s="642"/>
      <c r="CU249" s="642"/>
      <c r="CV249" s="642"/>
      <c r="CW249" s="642"/>
      <c r="CX249" s="642"/>
      <c r="CY249" s="642"/>
      <c r="CZ249" s="642"/>
      <c r="DA249" s="642"/>
      <c r="DB249" s="642"/>
      <c r="DC249" s="642"/>
      <c r="DD249" s="642"/>
      <c r="DE249" s="642"/>
      <c r="DF249" s="642"/>
      <c r="DG249" s="642"/>
      <c r="DH249" s="642"/>
      <c r="DI249" s="642"/>
      <c r="DJ249" s="642"/>
      <c r="DK249" s="642"/>
      <c r="DL249" s="642"/>
      <c r="DM249" s="642"/>
      <c r="DN249" s="642"/>
      <c r="DO249" s="642"/>
      <c r="DP249" s="642"/>
      <c r="DQ249" s="642"/>
      <c r="DR249" s="642"/>
      <c r="DS249" s="642"/>
      <c r="DT249" s="642"/>
      <c r="DU249" s="642"/>
      <c r="DV249" s="642"/>
      <c r="DW249" s="642"/>
      <c r="DX249" s="642"/>
      <c r="DY249" s="642"/>
      <c r="DZ249" s="642"/>
      <c r="EA249" s="642"/>
      <c r="EB249" s="642"/>
      <c r="EC249" s="642"/>
      <c r="ED249" s="642"/>
      <c r="EE249" s="642"/>
      <c r="EF249" s="642"/>
      <c r="EG249" s="642"/>
      <c r="EH249" s="642"/>
      <c r="EI249" s="642"/>
      <c r="EJ249" s="642"/>
      <c r="EK249" s="642"/>
      <c r="EL249" s="642"/>
      <c r="EM249" s="642"/>
      <c r="EN249" s="642"/>
      <c r="EO249" s="642"/>
      <c r="EP249" s="642"/>
      <c r="EQ249" s="642"/>
      <c r="ER249" s="642"/>
      <c r="ES249" s="642"/>
      <c r="ET249" s="642"/>
      <c r="EU249" s="642"/>
      <c r="EV249" s="642"/>
      <c r="EW249" s="642"/>
      <c r="EX249" s="642"/>
      <c r="EY249" s="642"/>
      <c r="EZ249" s="642"/>
      <c r="FA249" s="642"/>
      <c r="FB249" s="642"/>
      <c r="FC249" s="642"/>
      <c r="FD249" s="642"/>
      <c r="FE249" s="642"/>
      <c r="FF249" s="642"/>
      <c r="FG249" s="642"/>
      <c r="FH249" s="642"/>
      <c r="FI249" s="642"/>
      <c r="FJ249" s="642"/>
      <c r="FK249" s="642"/>
      <c r="FL249" s="642"/>
      <c r="FM249" s="642"/>
      <c r="FN249" s="642"/>
      <c r="FO249" s="642"/>
      <c r="FP249" s="642"/>
      <c r="FQ249" s="642"/>
      <c r="FR249" s="642"/>
      <c r="FS249" s="642"/>
      <c r="FT249" s="642"/>
      <c r="FU249" s="642"/>
      <c r="FV249" s="642"/>
      <c r="FW249" s="642"/>
      <c r="FX249" s="642"/>
      <c r="FY249" s="642"/>
      <c r="FZ249" s="642"/>
      <c r="GA249" s="642"/>
      <c r="GB249" s="642"/>
      <c r="GC249" s="642"/>
      <c r="GD249" s="642"/>
      <c r="GE249" s="642"/>
      <c r="GF249" s="642"/>
      <c r="GG249" s="642"/>
      <c r="GH249" s="642"/>
      <c r="GI249" s="642"/>
      <c r="GJ249" s="642"/>
      <c r="GK249" s="642"/>
      <c r="GL249" s="642"/>
      <c r="GM249" s="642"/>
      <c r="GN249" s="642"/>
      <c r="GO249" s="642"/>
      <c r="GP249" s="642"/>
      <c r="GQ249" s="642"/>
      <c r="GR249" s="642"/>
      <c r="GS249" s="642"/>
      <c r="GT249" s="642"/>
      <c r="GU249" s="642"/>
      <c r="GV249" s="642"/>
      <c r="GW249" s="642"/>
      <c r="GX249" s="642"/>
      <c r="GY249" s="642"/>
      <c r="GZ249" s="642"/>
      <c r="HA249" s="642"/>
      <c r="HB249" s="642"/>
      <c r="HC249" s="642"/>
      <c r="HD249" s="642"/>
      <c r="HE249" s="642"/>
      <c r="HF249" s="642"/>
      <c r="HG249" s="642"/>
      <c r="HH249" s="642"/>
      <c r="HI249" s="642"/>
      <c r="HJ249" s="642"/>
      <c r="HK249" s="642"/>
      <c r="HL249" s="642"/>
      <c r="HM249" s="642"/>
      <c r="HN249" s="642"/>
      <c r="HO249" s="642"/>
      <c r="HP249" s="642"/>
      <c r="HQ249" s="642"/>
      <c r="HR249" s="642"/>
      <c r="HS249" s="642"/>
      <c r="HT249" s="642"/>
      <c r="HU249" s="642"/>
      <c r="HV249" s="642"/>
      <c r="HW249" s="642"/>
      <c r="HX249" s="642"/>
      <c r="HY249" s="642"/>
      <c r="HZ249" s="642"/>
      <c r="IA249" s="642"/>
      <c r="IB249" s="642"/>
      <c r="IC249" s="642"/>
      <c r="ID249" s="642"/>
      <c r="IE249" s="642"/>
      <c r="IF249" s="642"/>
      <c r="IG249" s="642"/>
      <c r="IH249" s="642"/>
      <c r="II249" s="642"/>
      <c r="IJ249" s="642"/>
      <c r="IK249" s="642"/>
      <c r="IL249" s="642"/>
      <c r="IM249" s="642"/>
      <c r="IN249" s="642"/>
      <c r="IO249" s="642"/>
    </row>
    <row r="250" spans="1:249" ht="35.25" customHeight="1" x14ac:dyDescent="0.25">
      <c r="A250" s="648" t="s">
        <v>567</v>
      </c>
      <c r="B250" s="461" t="s">
        <v>395</v>
      </c>
      <c r="C250" s="652">
        <v>8</v>
      </c>
      <c r="D250" s="655">
        <v>2</v>
      </c>
      <c r="E250" s="557">
        <f t="shared" si="16"/>
        <v>25</v>
      </c>
      <c r="F250" s="641"/>
      <c r="G250" s="642"/>
      <c r="H250" s="642"/>
      <c r="I250" s="642"/>
      <c r="J250" s="642"/>
      <c r="K250" s="642"/>
      <c r="L250" s="642"/>
      <c r="M250" s="642"/>
      <c r="N250" s="642"/>
      <c r="O250" s="642"/>
      <c r="P250" s="642"/>
      <c r="Q250" s="642"/>
      <c r="R250" s="642"/>
      <c r="S250" s="642"/>
      <c r="T250" s="642"/>
      <c r="U250" s="642"/>
      <c r="V250" s="642"/>
      <c r="W250" s="642"/>
      <c r="X250" s="642"/>
      <c r="Y250" s="642"/>
      <c r="Z250" s="642"/>
      <c r="AA250" s="642"/>
      <c r="AB250" s="642"/>
      <c r="AC250" s="642"/>
      <c r="AD250" s="642"/>
      <c r="AE250" s="642"/>
      <c r="AF250" s="642"/>
      <c r="AG250" s="642"/>
      <c r="AH250" s="642"/>
      <c r="AI250" s="642"/>
      <c r="AJ250" s="642"/>
      <c r="AK250" s="642"/>
      <c r="AL250" s="642"/>
      <c r="AM250" s="642"/>
      <c r="AN250" s="642"/>
      <c r="AO250" s="642"/>
      <c r="AP250" s="642"/>
      <c r="AQ250" s="642"/>
      <c r="AR250" s="642"/>
      <c r="AS250" s="642"/>
      <c r="AT250" s="642"/>
      <c r="AU250" s="642"/>
      <c r="AV250" s="642"/>
      <c r="AW250" s="642"/>
      <c r="AX250" s="642"/>
      <c r="AY250" s="642"/>
      <c r="AZ250" s="642"/>
      <c r="BA250" s="642"/>
      <c r="BB250" s="642"/>
      <c r="BC250" s="642"/>
      <c r="BD250" s="642"/>
      <c r="BE250" s="642"/>
      <c r="BF250" s="642"/>
      <c r="BG250" s="642"/>
      <c r="BH250" s="642"/>
      <c r="BI250" s="642"/>
      <c r="BJ250" s="642"/>
      <c r="BK250" s="642"/>
      <c r="BL250" s="642"/>
      <c r="BM250" s="642"/>
      <c r="BN250" s="642"/>
      <c r="BO250" s="642"/>
      <c r="BP250" s="642"/>
      <c r="BQ250" s="642"/>
      <c r="BR250" s="642"/>
      <c r="BS250" s="642"/>
      <c r="BT250" s="642"/>
      <c r="BU250" s="642"/>
      <c r="BV250" s="642"/>
      <c r="BW250" s="642"/>
      <c r="BX250" s="642"/>
      <c r="BY250" s="642"/>
      <c r="BZ250" s="642"/>
      <c r="CA250" s="642"/>
      <c r="CB250" s="642"/>
      <c r="CC250" s="642"/>
      <c r="CD250" s="642"/>
      <c r="CE250" s="642"/>
      <c r="CF250" s="642"/>
      <c r="CG250" s="642"/>
      <c r="CH250" s="642"/>
      <c r="CI250" s="642"/>
      <c r="CJ250" s="642"/>
      <c r="CK250" s="642"/>
      <c r="CL250" s="642"/>
      <c r="CM250" s="642"/>
      <c r="CN250" s="642"/>
      <c r="CO250" s="642"/>
      <c r="CP250" s="642"/>
      <c r="CQ250" s="642"/>
      <c r="CR250" s="642"/>
      <c r="CS250" s="642"/>
      <c r="CT250" s="642"/>
      <c r="CU250" s="642"/>
      <c r="CV250" s="642"/>
      <c r="CW250" s="642"/>
      <c r="CX250" s="642"/>
      <c r="CY250" s="642"/>
      <c r="CZ250" s="642"/>
      <c r="DA250" s="642"/>
      <c r="DB250" s="642"/>
      <c r="DC250" s="642"/>
      <c r="DD250" s="642"/>
      <c r="DE250" s="642"/>
      <c r="DF250" s="642"/>
      <c r="DG250" s="642"/>
      <c r="DH250" s="642"/>
      <c r="DI250" s="642"/>
      <c r="DJ250" s="642"/>
      <c r="DK250" s="642"/>
      <c r="DL250" s="642"/>
      <c r="DM250" s="642"/>
      <c r="DN250" s="642"/>
      <c r="DO250" s="642"/>
      <c r="DP250" s="642"/>
      <c r="DQ250" s="642"/>
      <c r="DR250" s="642"/>
      <c r="DS250" s="642"/>
      <c r="DT250" s="642"/>
      <c r="DU250" s="642"/>
      <c r="DV250" s="642"/>
      <c r="DW250" s="642"/>
      <c r="DX250" s="642"/>
      <c r="DY250" s="642"/>
      <c r="DZ250" s="642"/>
      <c r="EA250" s="642"/>
      <c r="EB250" s="642"/>
      <c r="EC250" s="642"/>
      <c r="ED250" s="642"/>
      <c r="EE250" s="642"/>
      <c r="EF250" s="642"/>
      <c r="EG250" s="642"/>
      <c r="EH250" s="642"/>
      <c r="EI250" s="642"/>
      <c r="EJ250" s="642"/>
      <c r="EK250" s="642"/>
      <c r="EL250" s="642"/>
      <c r="EM250" s="642"/>
      <c r="EN250" s="642"/>
      <c r="EO250" s="642"/>
      <c r="EP250" s="642"/>
      <c r="EQ250" s="642"/>
      <c r="ER250" s="642"/>
      <c r="ES250" s="642"/>
      <c r="ET250" s="642"/>
      <c r="EU250" s="642"/>
      <c r="EV250" s="642"/>
      <c r="EW250" s="642"/>
      <c r="EX250" s="642"/>
      <c r="EY250" s="642"/>
      <c r="EZ250" s="642"/>
      <c r="FA250" s="642"/>
      <c r="FB250" s="642"/>
      <c r="FC250" s="642"/>
      <c r="FD250" s="642"/>
      <c r="FE250" s="642"/>
      <c r="FF250" s="642"/>
      <c r="FG250" s="642"/>
      <c r="FH250" s="642"/>
      <c r="FI250" s="642"/>
      <c r="FJ250" s="642"/>
      <c r="FK250" s="642"/>
      <c r="FL250" s="642"/>
      <c r="FM250" s="642"/>
      <c r="FN250" s="642"/>
      <c r="FO250" s="642"/>
      <c r="FP250" s="642"/>
      <c r="FQ250" s="642"/>
      <c r="FR250" s="642"/>
      <c r="FS250" s="642"/>
      <c r="FT250" s="642"/>
      <c r="FU250" s="642"/>
      <c r="FV250" s="642"/>
      <c r="FW250" s="642"/>
      <c r="FX250" s="642"/>
      <c r="FY250" s="642"/>
      <c r="FZ250" s="642"/>
      <c r="GA250" s="642"/>
      <c r="GB250" s="642"/>
      <c r="GC250" s="642"/>
      <c r="GD250" s="642"/>
      <c r="GE250" s="642"/>
      <c r="GF250" s="642"/>
      <c r="GG250" s="642"/>
      <c r="GH250" s="642"/>
      <c r="GI250" s="642"/>
      <c r="GJ250" s="642"/>
      <c r="GK250" s="642"/>
      <c r="GL250" s="642"/>
      <c r="GM250" s="642"/>
      <c r="GN250" s="642"/>
      <c r="GO250" s="642"/>
      <c r="GP250" s="642"/>
      <c r="GQ250" s="642"/>
      <c r="GR250" s="642"/>
      <c r="GS250" s="642"/>
      <c r="GT250" s="642"/>
      <c r="GU250" s="642"/>
      <c r="GV250" s="642"/>
      <c r="GW250" s="642"/>
      <c r="GX250" s="642"/>
      <c r="GY250" s="642"/>
      <c r="GZ250" s="642"/>
      <c r="HA250" s="642"/>
      <c r="HB250" s="642"/>
      <c r="HC250" s="642"/>
      <c r="HD250" s="642"/>
      <c r="HE250" s="642"/>
      <c r="HF250" s="642"/>
      <c r="HG250" s="642"/>
      <c r="HH250" s="642"/>
      <c r="HI250" s="642"/>
      <c r="HJ250" s="642"/>
      <c r="HK250" s="642"/>
      <c r="HL250" s="642"/>
      <c r="HM250" s="642"/>
      <c r="HN250" s="642"/>
      <c r="HO250" s="642"/>
      <c r="HP250" s="642"/>
      <c r="HQ250" s="642"/>
      <c r="HR250" s="642"/>
      <c r="HS250" s="642"/>
      <c r="HT250" s="642"/>
      <c r="HU250" s="642"/>
      <c r="HV250" s="642"/>
      <c r="HW250" s="642"/>
      <c r="HX250" s="642"/>
      <c r="HY250" s="642"/>
      <c r="HZ250" s="642"/>
      <c r="IA250" s="642"/>
      <c r="IB250" s="642"/>
      <c r="IC250" s="642"/>
      <c r="ID250" s="642"/>
      <c r="IE250" s="642"/>
      <c r="IF250" s="642"/>
      <c r="IG250" s="642"/>
      <c r="IH250" s="642"/>
      <c r="II250" s="642"/>
      <c r="IJ250" s="642"/>
      <c r="IK250" s="642"/>
      <c r="IL250" s="642"/>
      <c r="IM250" s="642"/>
      <c r="IN250" s="642"/>
      <c r="IO250" s="642"/>
    </row>
    <row r="251" spans="1:249" ht="31.5" x14ac:dyDescent="0.25">
      <c r="A251" s="648" t="s">
        <v>765</v>
      </c>
      <c r="B251" s="461" t="s">
        <v>395</v>
      </c>
      <c r="C251" s="652">
        <v>40</v>
      </c>
      <c r="D251" s="656">
        <v>24</v>
      </c>
      <c r="E251" s="557">
        <f t="shared" si="16"/>
        <v>60</v>
      </c>
      <c r="F251" s="641"/>
      <c r="G251" s="642"/>
      <c r="H251" s="642"/>
      <c r="I251" s="642"/>
      <c r="J251" s="642"/>
      <c r="K251" s="642"/>
      <c r="L251" s="642"/>
      <c r="M251" s="642"/>
      <c r="N251" s="642"/>
      <c r="O251" s="642"/>
      <c r="P251" s="642"/>
      <c r="Q251" s="642"/>
      <c r="R251" s="642"/>
      <c r="S251" s="642"/>
      <c r="T251" s="642"/>
      <c r="U251" s="642"/>
      <c r="V251" s="642"/>
      <c r="W251" s="642"/>
      <c r="X251" s="642"/>
      <c r="Y251" s="642"/>
      <c r="Z251" s="642"/>
      <c r="AA251" s="642"/>
      <c r="AB251" s="642"/>
      <c r="AC251" s="642"/>
      <c r="AD251" s="642"/>
      <c r="AE251" s="642"/>
      <c r="AF251" s="642"/>
      <c r="AG251" s="642"/>
      <c r="AH251" s="642"/>
      <c r="AI251" s="642"/>
      <c r="AJ251" s="642"/>
      <c r="AK251" s="642"/>
      <c r="AL251" s="642"/>
      <c r="AM251" s="642"/>
      <c r="AN251" s="642"/>
      <c r="AO251" s="642"/>
      <c r="AP251" s="642"/>
      <c r="AQ251" s="642"/>
      <c r="AR251" s="642"/>
      <c r="AS251" s="642"/>
      <c r="AT251" s="642"/>
      <c r="AU251" s="642"/>
      <c r="AV251" s="642"/>
      <c r="AW251" s="642"/>
      <c r="AX251" s="642"/>
      <c r="AY251" s="642"/>
      <c r="AZ251" s="642"/>
      <c r="BA251" s="642"/>
      <c r="BB251" s="642"/>
      <c r="BC251" s="642"/>
      <c r="BD251" s="642"/>
      <c r="BE251" s="642"/>
      <c r="BF251" s="642"/>
      <c r="BG251" s="642"/>
      <c r="BH251" s="642"/>
      <c r="BI251" s="642"/>
      <c r="BJ251" s="642"/>
      <c r="BK251" s="642"/>
      <c r="BL251" s="642"/>
      <c r="BM251" s="642"/>
      <c r="BN251" s="642"/>
      <c r="BO251" s="642"/>
      <c r="BP251" s="642"/>
      <c r="BQ251" s="642"/>
      <c r="BR251" s="642"/>
      <c r="BS251" s="642"/>
      <c r="BT251" s="642"/>
      <c r="BU251" s="642"/>
      <c r="BV251" s="642"/>
      <c r="BW251" s="642"/>
      <c r="BX251" s="642"/>
      <c r="BY251" s="642"/>
      <c r="BZ251" s="642"/>
      <c r="CA251" s="642"/>
      <c r="CB251" s="642"/>
      <c r="CC251" s="642"/>
      <c r="CD251" s="642"/>
      <c r="CE251" s="642"/>
      <c r="CF251" s="642"/>
      <c r="CG251" s="642"/>
      <c r="CH251" s="642"/>
      <c r="CI251" s="642"/>
      <c r="CJ251" s="642"/>
      <c r="CK251" s="642"/>
      <c r="CL251" s="642"/>
      <c r="CM251" s="642"/>
      <c r="CN251" s="642"/>
      <c r="CO251" s="642"/>
      <c r="CP251" s="642"/>
      <c r="CQ251" s="642"/>
      <c r="CR251" s="642"/>
      <c r="CS251" s="642"/>
      <c r="CT251" s="642"/>
      <c r="CU251" s="642"/>
      <c r="CV251" s="642"/>
      <c r="CW251" s="642"/>
      <c r="CX251" s="642"/>
      <c r="CY251" s="642"/>
      <c r="CZ251" s="642"/>
      <c r="DA251" s="642"/>
      <c r="DB251" s="642"/>
      <c r="DC251" s="642"/>
      <c r="DD251" s="642"/>
      <c r="DE251" s="642"/>
      <c r="DF251" s="642"/>
      <c r="DG251" s="642"/>
      <c r="DH251" s="642"/>
      <c r="DI251" s="642"/>
      <c r="DJ251" s="642"/>
      <c r="DK251" s="642"/>
      <c r="DL251" s="642"/>
      <c r="DM251" s="642"/>
      <c r="DN251" s="642"/>
      <c r="DO251" s="642"/>
      <c r="DP251" s="642"/>
      <c r="DQ251" s="642"/>
      <c r="DR251" s="642"/>
      <c r="DS251" s="642"/>
      <c r="DT251" s="642"/>
      <c r="DU251" s="642"/>
      <c r="DV251" s="642"/>
      <c r="DW251" s="642"/>
      <c r="DX251" s="642"/>
      <c r="DY251" s="642"/>
      <c r="DZ251" s="642"/>
      <c r="EA251" s="642"/>
      <c r="EB251" s="642"/>
      <c r="EC251" s="642"/>
      <c r="ED251" s="642"/>
      <c r="EE251" s="642"/>
      <c r="EF251" s="642"/>
      <c r="EG251" s="642"/>
      <c r="EH251" s="642"/>
      <c r="EI251" s="642"/>
      <c r="EJ251" s="642"/>
      <c r="EK251" s="642"/>
      <c r="EL251" s="642"/>
      <c r="EM251" s="642"/>
      <c r="EN251" s="642"/>
      <c r="EO251" s="642"/>
      <c r="EP251" s="642"/>
      <c r="EQ251" s="642"/>
      <c r="ER251" s="642"/>
      <c r="ES251" s="642"/>
      <c r="ET251" s="642"/>
      <c r="EU251" s="642"/>
      <c r="EV251" s="642"/>
      <c r="EW251" s="642"/>
      <c r="EX251" s="642"/>
      <c r="EY251" s="642"/>
      <c r="EZ251" s="642"/>
      <c r="FA251" s="642"/>
      <c r="FB251" s="642"/>
      <c r="FC251" s="642"/>
      <c r="FD251" s="642"/>
      <c r="FE251" s="642"/>
      <c r="FF251" s="642"/>
      <c r="FG251" s="642"/>
      <c r="FH251" s="642"/>
      <c r="FI251" s="642"/>
      <c r="FJ251" s="642"/>
      <c r="FK251" s="642"/>
      <c r="FL251" s="642"/>
      <c r="FM251" s="642"/>
      <c r="FN251" s="642"/>
      <c r="FO251" s="642"/>
      <c r="FP251" s="642"/>
      <c r="FQ251" s="642"/>
      <c r="FR251" s="642"/>
      <c r="FS251" s="642"/>
      <c r="FT251" s="642"/>
      <c r="FU251" s="642"/>
      <c r="FV251" s="642"/>
      <c r="FW251" s="642"/>
      <c r="FX251" s="642"/>
      <c r="FY251" s="642"/>
      <c r="FZ251" s="642"/>
      <c r="GA251" s="642"/>
      <c r="GB251" s="642"/>
      <c r="GC251" s="642"/>
      <c r="GD251" s="642"/>
      <c r="GE251" s="642"/>
      <c r="GF251" s="642"/>
      <c r="GG251" s="642"/>
      <c r="GH251" s="642"/>
      <c r="GI251" s="642"/>
      <c r="GJ251" s="642"/>
      <c r="GK251" s="642"/>
      <c r="GL251" s="642"/>
      <c r="GM251" s="642"/>
      <c r="GN251" s="642"/>
      <c r="GO251" s="642"/>
      <c r="GP251" s="642"/>
      <c r="GQ251" s="642"/>
      <c r="GR251" s="642"/>
      <c r="GS251" s="642"/>
      <c r="GT251" s="642"/>
      <c r="GU251" s="642"/>
      <c r="GV251" s="642"/>
      <c r="GW251" s="642"/>
      <c r="GX251" s="642"/>
      <c r="GY251" s="642"/>
      <c r="GZ251" s="642"/>
      <c r="HA251" s="642"/>
      <c r="HB251" s="642"/>
      <c r="HC251" s="642"/>
      <c r="HD251" s="642"/>
      <c r="HE251" s="642"/>
      <c r="HF251" s="642"/>
      <c r="HG251" s="642"/>
      <c r="HH251" s="642"/>
      <c r="HI251" s="642"/>
      <c r="HJ251" s="642"/>
      <c r="HK251" s="642"/>
      <c r="HL251" s="642"/>
      <c r="HM251" s="642"/>
      <c r="HN251" s="642"/>
      <c r="HO251" s="642"/>
      <c r="HP251" s="642"/>
      <c r="HQ251" s="642"/>
      <c r="HR251" s="642"/>
      <c r="HS251" s="642"/>
      <c r="HT251" s="642"/>
      <c r="HU251" s="642"/>
      <c r="HV251" s="642"/>
      <c r="HW251" s="642"/>
      <c r="HX251" s="642"/>
      <c r="HY251" s="642"/>
      <c r="HZ251" s="642"/>
      <c r="IA251" s="642"/>
      <c r="IB251" s="642"/>
      <c r="IC251" s="642"/>
      <c r="ID251" s="642"/>
      <c r="IE251" s="642"/>
      <c r="IF251" s="642"/>
      <c r="IG251" s="642"/>
      <c r="IH251" s="642"/>
      <c r="II251" s="642"/>
      <c r="IJ251" s="642"/>
      <c r="IK251" s="642"/>
      <c r="IL251" s="642"/>
      <c r="IM251" s="642"/>
      <c r="IN251" s="642"/>
      <c r="IO251" s="642"/>
    </row>
    <row r="252" spans="1:249" ht="31.5" x14ac:dyDescent="0.25">
      <c r="A252" s="648" t="s">
        <v>766</v>
      </c>
      <c r="B252" s="461" t="s">
        <v>395</v>
      </c>
      <c r="C252" s="652">
        <v>18</v>
      </c>
      <c r="D252" s="656">
        <v>24</v>
      </c>
      <c r="E252" s="557">
        <v>100</v>
      </c>
      <c r="F252" s="641"/>
      <c r="G252" s="642"/>
      <c r="H252" s="642"/>
      <c r="I252" s="642"/>
      <c r="J252" s="642"/>
      <c r="K252" s="642"/>
      <c r="L252" s="642"/>
      <c r="M252" s="642"/>
      <c r="N252" s="642"/>
      <c r="O252" s="642"/>
      <c r="P252" s="642"/>
      <c r="Q252" s="642"/>
      <c r="R252" s="642"/>
      <c r="S252" s="642"/>
      <c r="T252" s="642"/>
      <c r="U252" s="642"/>
      <c r="V252" s="642"/>
      <c r="W252" s="642"/>
      <c r="X252" s="642"/>
      <c r="Y252" s="642"/>
      <c r="Z252" s="642"/>
      <c r="AA252" s="642"/>
      <c r="AB252" s="642"/>
      <c r="AC252" s="642"/>
      <c r="AD252" s="642"/>
      <c r="AE252" s="642"/>
      <c r="AF252" s="642"/>
      <c r="AG252" s="642"/>
      <c r="AH252" s="642"/>
      <c r="AI252" s="642"/>
      <c r="AJ252" s="642"/>
      <c r="AK252" s="642"/>
      <c r="AL252" s="642"/>
      <c r="AM252" s="642"/>
      <c r="AN252" s="642"/>
      <c r="AO252" s="642"/>
      <c r="AP252" s="642"/>
      <c r="AQ252" s="642"/>
      <c r="AR252" s="642"/>
      <c r="AS252" s="642"/>
      <c r="AT252" s="642"/>
      <c r="AU252" s="642"/>
      <c r="AV252" s="642"/>
      <c r="AW252" s="642"/>
      <c r="AX252" s="642"/>
      <c r="AY252" s="642"/>
      <c r="AZ252" s="642"/>
      <c r="BA252" s="642"/>
      <c r="BB252" s="642"/>
      <c r="BC252" s="642"/>
      <c r="BD252" s="642"/>
      <c r="BE252" s="642"/>
      <c r="BF252" s="642"/>
      <c r="BG252" s="642"/>
      <c r="BH252" s="642"/>
      <c r="BI252" s="642"/>
      <c r="BJ252" s="642"/>
      <c r="BK252" s="642"/>
      <c r="BL252" s="642"/>
      <c r="BM252" s="642"/>
      <c r="BN252" s="642"/>
      <c r="BO252" s="642"/>
      <c r="BP252" s="642"/>
      <c r="BQ252" s="642"/>
      <c r="BR252" s="642"/>
      <c r="BS252" s="642"/>
      <c r="BT252" s="642"/>
      <c r="BU252" s="642"/>
      <c r="BV252" s="642"/>
      <c r="BW252" s="642"/>
      <c r="BX252" s="642"/>
      <c r="BY252" s="642"/>
      <c r="BZ252" s="642"/>
      <c r="CA252" s="642"/>
      <c r="CB252" s="642"/>
      <c r="CC252" s="642"/>
      <c r="CD252" s="642"/>
      <c r="CE252" s="642"/>
      <c r="CF252" s="642"/>
      <c r="CG252" s="642"/>
      <c r="CH252" s="642"/>
      <c r="CI252" s="642"/>
      <c r="CJ252" s="642"/>
      <c r="CK252" s="642"/>
      <c r="CL252" s="642"/>
      <c r="CM252" s="642"/>
      <c r="CN252" s="642"/>
      <c r="CO252" s="642"/>
      <c r="CP252" s="642"/>
      <c r="CQ252" s="642"/>
      <c r="CR252" s="642"/>
      <c r="CS252" s="642"/>
      <c r="CT252" s="642"/>
      <c r="CU252" s="642"/>
      <c r="CV252" s="642"/>
      <c r="CW252" s="642"/>
      <c r="CX252" s="642"/>
      <c r="CY252" s="642"/>
      <c r="CZ252" s="642"/>
      <c r="DA252" s="642"/>
      <c r="DB252" s="642"/>
      <c r="DC252" s="642"/>
      <c r="DD252" s="642"/>
      <c r="DE252" s="642"/>
      <c r="DF252" s="642"/>
      <c r="DG252" s="642"/>
      <c r="DH252" s="642"/>
      <c r="DI252" s="642"/>
      <c r="DJ252" s="642"/>
      <c r="DK252" s="642"/>
      <c r="DL252" s="642"/>
      <c r="DM252" s="642"/>
      <c r="DN252" s="642"/>
      <c r="DO252" s="642"/>
      <c r="DP252" s="642"/>
      <c r="DQ252" s="642"/>
      <c r="DR252" s="642"/>
      <c r="DS252" s="642"/>
      <c r="DT252" s="642"/>
      <c r="DU252" s="642"/>
      <c r="DV252" s="642"/>
      <c r="DW252" s="642"/>
      <c r="DX252" s="642"/>
      <c r="DY252" s="642"/>
      <c r="DZ252" s="642"/>
      <c r="EA252" s="642"/>
      <c r="EB252" s="642"/>
      <c r="EC252" s="642"/>
      <c r="ED252" s="642"/>
      <c r="EE252" s="642"/>
      <c r="EF252" s="642"/>
      <c r="EG252" s="642"/>
      <c r="EH252" s="642"/>
      <c r="EI252" s="642"/>
      <c r="EJ252" s="642"/>
      <c r="EK252" s="642"/>
      <c r="EL252" s="642"/>
      <c r="EM252" s="642"/>
      <c r="EN252" s="642"/>
      <c r="EO252" s="642"/>
      <c r="EP252" s="642"/>
      <c r="EQ252" s="642"/>
      <c r="ER252" s="642"/>
      <c r="ES252" s="642"/>
      <c r="ET252" s="642"/>
      <c r="EU252" s="642"/>
      <c r="EV252" s="642"/>
      <c r="EW252" s="642"/>
      <c r="EX252" s="642"/>
      <c r="EY252" s="642"/>
      <c r="EZ252" s="642"/>
      <c r="FA252" s="642"/>
      <c r="FB252" s="642"/>
      <c r="FC252" s="642"/>
      <c r="FD252" s="642"/>
      <c r="FE252" s="642"/>
      <c r="FF252" s="642"/>
      <c r="FG252" s="642"/>
      <c r="FH252" s="642"/>
      <c r="FI252" s="642"/>
      <c r="FJ252" s="642"/>
      <c r="FK252" s="642"/>
      <c r="FL252" s="642"/>
      <c r="FM252" s="642"/>
      <c r="FN252" s="642"/>
      <c r="FO252" s="642"/>
      <c r="FP252" s="642"/>
      <c r="FQ252" s="642"/>
      <c r="FR252" s="642"/>
      <c r="FS252" s="642"/>
      <c r="FT252" s="642"/>
      <c r="FU252" s="642"/>
      <c r="FV252" s="642"/>
      <c r="FW252" s="642"/>
      <c r="FX252" s="642"/>
      <c r="FY252" s="642"/>
      <c r="FZ252" s="642"/>
      <c r="GA252" s="642"/>
      <c r="GB252" s="642"/>
      <c r="GC252" s="642"/>
      <c r="GD252" s="642"/>
      <c r="GE252" s="642"/>
      <c r="GF252" s="642"/>
      <c r="GG252" s="642"/>
      <c r="GH252" s="642"/>
      <c r="GI252" s="642"/>
      <c r="GJ252" s="642"/>
      <c r="GK252" s="642"/>
      <c r="GL252" s="642"/>
      <c r="GM252" s="642"/>
      <c r="GN252" s="642"/>
      <c r="GO252" s="642"/>
      <c r="GP252" s="642"/>
      <c r="GQ252" s="642"/>
      <c r="GR252" s="642"/>
      <c r="GS252" s="642"/>
      <c r="GT252" s="642"/>
      <c r="GU252" s="642"/>
      <c r="GV252" s="642"/>
      <c r="GW252" s="642"/>
      <c r="GX252" s="642"/>
      <c r="GY252" s="642"/>
      <c r="GZ252" s="642"/>
      <c r="HA252" s="642"/>
      <c r="HB252" s="642"/>
      <c r="HC252" s="642"/>
      <c r="HD252" s="642"/>
      <c r="HE252" s="642"/>
      <c r="HF252" s="642"/>
      <c r="HG252" s="642"/>
      <c r="HH252" s="642"/>
      <c r="HI252" s="642"/>
      <c r="HJ252" s="642"/>
      <c r="HK252" s="642"/>
      <c r="HL252" s="642"/>
      <c r="HM252" s="642"/>
      <c r="HN252" s="642"/>
      <c r="HO252" s="642"/>
      <c r="HP252" s="642"/>
      <c r="HQ252" s="642"/>
      <c r="HR252" s="642"/>
      <c r="HS252" s="642"/>
      <c r="HT252" s="642"/>
      <c r="HU252" s="642"/>
      <c r="HV252" s="642"/>
      <c r="HW252" s="642"/>
      <c r="HX252" s="642"/>
      <c r="HY252" s="642"/>
      <c r="HZ252" s="642"/>
      <c r="IA252" s="642"/>
      <c r="IB252" s="642"/>
      <c r="IC252" s="642"/>
      <c r="ID252" s="642"/>
      <c r="IE252" s="642"/>
      <c r="IF252" s="642"/>
      <c r="IG252" s="642"/>
      <c r="IH252" s="642"/>
      <c r="II252" s="642"/>
      <c r="IJ252" s="642"/>
      <c r="IK252" s="642"/>
      <c r="IL252" s="642"/>
      <c r="IM252" s="642"/>
      <c r="IN252" s="642"/>
      <c r="IO252" s="642"/>
    </row>
    <row r="253" spans="1:249" ht="36" customHeight="1" x14ac:dyDescent="0.25">
      <c r="A253" s="780" t="s">
        <v>1158</v>
      </c>
      <c r="B253" s="780"/>
      <c r="C253" s="780"/>
      <c r="D253" s="780"/>
      <c r="E253" s="780"/>
      <c r="F253" s="544">
        <f>SUM(E255+E256+E257+E258+E259+E260+E261)/7</f>
        <v>100</v>
      </c>
    </row>
    <row r="254" spans="1:249" ht="19.5" customHeight="1" x14ac:dyDescent="0.25">
      <c r="A254" s="786" t="s">
        <v>568</v>
      </c>
      <c r="B254" s="787"/>
      <c r="C254" s="787"/>
      <c r="D254" s="787"/>
      <c r="E254" s="788"/>
      <c r="F254" s="523"/>
    </row>
    <row r="255" spans="1:249" ht="57.75" customHeight="1" x14ac:dyDescent="0.25">
      <c r="A255" s="657" t="s">
        <v>569</v>
      </c>
      <c r="B255" s="658" t="s">
        <v>395</v>
      </c>
      <c r="C255" s="536">
        <v>1</v>
      </c>
      <c r="D255" s="519">
        <v>2</v>
      </c>
      <c r="E255" s="519">
        <v>100</v>
      </c>
      <c r="F255" s="523"/>
    </row>
    <row r="256" spans="1:249" ht="39" customHeight="1" x14ac:dyDescent="0.25">
      <c r="A256" s="657" t="s">
        <v>756</v>
      </c>
      <c r="B256" s="659" t="s">
        <v>395</v>
      </c>
      <c r="C256" s="659">
        <v>5</v>
      </c>
      <c r="D256" s="519">
        <v>5</v>
      </c>
      <c r="E256" s="519">
        <f t="shared" ref="E256:E261" si="17">SUM(D256/C256*100)</f>
        <v>100</v>
      </c>
      <c r="F256" s="523"/>
    </row>
    <row r="257" spans="1:249" ht="38.25" customHeight="1" x14ac:dyDescent="0.25">
      <c r="A257" s="657" t="s">
        <v>570</v>
      </c>
      <c r="B257" s="537" t="s">
        <v>395</v>
      </c>
      <c r="C257" s="536">
        <v>5200</v>
      </c>
      <c r="D257" s="519">
        <v>5296</v>
      </c>
      <c r="E257" s="519">
        <v>100</v>
      </c>
      <c r="F257" s="523"/>
    </row>
    <row r="258" spans="1:249" ht="31.5" customHeight="1" x14ac:dyDescent="0.25">
      <c r="A258" s="657" t="s">
        <v>571</v>
      </c>
      <c r="B258" s="659" t="s">
        <v>411</v>
      </c>
      <c r="C258" s="659">
        <v>95</v>
      </c>
      <c r="D258" s="519">
        <v>102</v>
      </c>
      <c r="E258" s="557">
        <v>100</v>
      </c>
      <c r="F258" s="523"/>
    </row>
    <row r="259" spans="1:249" ht="47.25" customHeight="1" x14ac:dyDescent="0.25">
      <c r="A259" s="657" t="s">
        <v>572</v>
      </c>
      <c r="B259" s="512" t="s">
        <v>395</v>
      </c>
      <c r="C259" s="512">
        <v>7</v>
      </c>
      <c r="D259" s="519">
        <v>8</v>
      </c>
      <c r="E259" s="519">
        <v>100</v>
      </c>
      <c r="F259" s="523"/>
    </row>
    <row r="260" spans="1:249" ht="47.25" customHeight="1" x14ac:dyDescent="0.25">
      <c r="A260" s="660" t="s">
        <v>573</v>
      </c>
      <c r="B260" s="35" t="s">
        <v>395</v>
      </c>
      <c r="C260" s="536">
        <v>18</v>
      </c>
      <c r="D260" s="519">
        <v>22</v>
      </c>
      <c r="E260" s="519">
        <v>100</v>
      </c>
      <c r="F260" s="523"/>
    </row>
    <row r="261" spans="1:249" ht="47.25" customHeight="1" x14ac:dyDescent="0.25">
      <c r="A261" s="661" t="s">
        <v>574</v>
      </c>
      <c r="B261" s="35" t="s">
        <v>386</v>
      </c>
      <c r="C261" s="662">
        <v>4</v>
      </c>
      <c r="D261" s="519">
        <v>4</v>
      </c>
      <c r="E261" s="519">
        <f t="shared" si="17"/>
        <v>100</v>
      </c>
      <c r="F261" s="523"/>
    </row>
    <row r="262" spans="1:249" ht="32.25" customHeight="1" x14ac:dyDescent="0.25">
      <c r="A262" s="780" t="s">
        <v>1159</v>
      </c>
      <c r="B262" s="780"/>
      <c r="C262" s="780"/>
      <c r="D262" s="780"/>
      <c r="E262" s="780"/>
      <c r="F262" s="544">
        <f>SUM(E265+E266+E267+E268+E269+E271+E272+E273+E274+E275+E276+E277+E279+E280+E281+E282+E283+E284)/18</f>
        <v>99.199229810850596</v>
      </c>
    </row>
    <row r="263" spans="1:249" ht="30" customHeight="1" x14ac:dyDescent="0.25">
      <c r="A263" s="786" t="s">
        <v>575</v>
      </c>
      <c r="B263" s="787"/>
      <c r="C263" s="787"/>
      <c r="D263" s="787"/>
      <c r="E263" s="788"/>
      <c r="F263" s="641"/>
      <c r="G263" s="642"/>
      <c r="H263" s="642"/>
      <c r="I263" s="642"/>
      <c r="J263" s="642"/>
      <c r="K263" s="642"/>
      <c r="L263" s="642"/>
      <c r="M263" s="642"/>
      <c r="N263" s="642"/>
      <c r="O263" s="642"/>
      <c r="P263" s="642"/>
      <c r="Q263" s="642"/>
      <c r="R263" s="642"/>
      <c r="S263" s="642"/>
      <c r="T263" s="642"/>
      <c r="U263" s="642"/>
      <c r="V263" s="642"/>
      <c r="W263" s="642"/>
      <c r="X263" s="642"/>
      <c r="Y263" s="642"/>
      <c r="Z263" s="642"/>
      <c r="AA263" s="642"/>
      <c r="AB263" s="642"/>
      <c r="AC263" s="642"/>
      <c r="AD263" s="642"/>
      <c r="AE263" s="642"/>
      <c r="AF263" s="642"/>
      <c r="AG263" s="642"/>
      <c r="AH263" s="642"/>
      <c r="AI263" s="642"/>
      <c r="AJ263" s="642"/>
      <c r="AK263" s="642"/>
      <c r="AL263" s="642"/>
      <c r="AM263" s="642"/>
      <c r="AN263" s="642"/>
      <c r="AO263" s="642"/>
      <c r="AP263" s="642"/>
      <c r="AQ263" s="642"/>
      <c r="AR263" s="642"/>
      <c r="AS263" s="642"/>
      <c r="AT263" s="642"/>
      <c r="AU263" s="642"/>
      <c r="AV263" s="642"/>
      <c r="AW263" s="642"/>
      <c r="AX263" s="642"/>
      <c r="AY263" s="642"/>
      <c r="AZ263" s="642"/>
      <c r="BA263" s="642"/>
      <c r="BB263" s="642"/>
      <c r="BC263" s="642"/>
      <c r="BD263" s="642"/>
      <c r="BE263" s="642"/>
      <c r="BF263" s="642"/>
      <c r="BG263" s="642"/>
      <c r="BH263" s="642"/>
      <c r="BI263" s="642"/>
      <c r="BJ263" s="642"/>
      <c r="BK263" s="642"/>
      <c r="BL263" s="642"/>
      <c r="BM263" s="642"/>
      <c r="BN263" s="642"/>
      <c r="BO263" s="642"/>
      <c r="BP263" s="642"/>
      <c r="BQ263" s="642"/>
      <c r="BR263" s="642"/>
      <c r="BS263" s="642"/>
      <c r="BT263" s="642"/>
      <c r="BU263" s="642"/>
      <c r="BV263" s="642"/>
      <c r="BW263" s="642"/>
      <c r="BX263" s="642"/>
      <c r="BY263" s="642"/>
      <c r="BZ263" s="642"/>
      <c r="CA263" s="642"/>
      <c r="CB263" s="642"/>
      <c r="CC263" s="642"/>
      <c r="CD263" s="642"/>
      <c r="CE263" s="642"/>
      <c r="CF263" s="642"/>
      <c r="CG263" s="642"/>
      <c r="CH263" s="642"/>
      <c r="CI263" s="642"/>
      <c r="CJ263" s="642"/>
      <c r="CK263" s="642"/>
      <c r="CL263" s="642"/>
      <c r="CM263" s="642"/>
      <c r="CN263" s="642"/>
      <c r="CO263" s="642"/>
      <c r="CP263" s="642"/>
      <c r="CQ263" s="642"/>
      <c r="CR263" s="642"/>
      <c r="CS263" s="642"/>
      <c r="CT263" s="642"/>
      <c r="CU263" s="642"/>
      <c r="CV263" s="642"/>
      <c r="CW263" s="642"/>
      <c r="CX263" s="642"/>
      <c r="CY263" s="642"/>
      <c r="CZ263" s="642"/>
      <c r="DA263" s="642"/>
      <c r="DB263" s="642"/>
      <c r="DC263" s="642"/>
      <c r="DD263" s="642"/>
      <c r="DE263" s="642"/>
      <c r="DF263" s="642"/>
      <c r="DG263" s="642"/>
      <c r="DH263" s="642"/>
      <c r="DI263" s="642"/>
      <c r="DJ263" s="642"/>
      <c r="DK263" s="642"/>
      <c r="DL263" s="642"/>
      <c r="DM263" s="642"/>
      <c r="DN263" s="642"/>
      <c r="DO263" s="642"/>
      <c r="DP263" s="642"/>
      <c r="DQ263" s="642"/>
      <c r="DR263" s="642"/>
      <c r="DS263" s="642"/>
      <c r="DT263" s="642"/>
      <c r="DU263" s="642"/>
      <c r="DV263" s="642"/>
      <c r="DW263" s="642"/>
      <c r="DX263" s="642"/>
      <c r="DY263" s="642"/>
      <c r="DZ263" s="642"/>
      <c r="EA263" s="642"/>
      <c r="EB263" s="642"/>
      <c r="EC263" s="642"/>
      <c r="ED263" s="642"/>
      <c r="EE263" s="642"/>
      <c r="EF263" s="642"/>
      <c r="EG263" s="642"/>
      <c r="EH263" s="642"/>
      <c r="EI263" s="642"/>
      <c r="EJ263" s="642"/>
      <c r="EK263" s="642"/>
      <c r="EL263" s="642"/>
      <c r="EM263" s="642"/>
      <c r="EN263" s="642"/>
      <c r="EO263" s="642"/>
      <c r="EP263" s="642"/>
      <c r="EQ263" s="642"/>
      <c r="ER263" s="642"/>
      <c r="ES263" s="642"/>
      <c r="ET263" s="642"/>
      <c r="EU263" s="642"/>
      <c r="EV263" s="642"/>
      <c r="EW263" s="642"/>
      <c r="EX263" s="642"/>
      <c r="EY263" s="642"/>
      <c r="EZ263" s="642"/>
      <c r="FA263" s="642"/>
      <c r="FB263" s="642"/>
      <c r="FC263" s="642"/>
      <c r="FD263" s="642"/>
      <c r="FE263" s="642"/>
      <c r="FF263" s="642"/>
      <c r="FG263" s="642"/>
      <c r="FH263" s="642"/>
      <c r="FI263" s="642"/>
      <c r="FJ263" s="642"/>
      <c r="FK263" s="642"/>
      <c r="FL263" s="642"/>
      <c r="FM263" s="642"/>
      <c r="FN263" s="642"/>
      <c r="FO263" s="642"/>
      <c r="FP263" s="642"/>
      <c r="FQ263" s="642"/>
      <c r="FR263" s="642"/>
      <c r="FS263" s="642"/>
      <c r="FT263" s="642"/>
      <c r="FU263" s="642"/>
      <c r="FV263" s="642"/>
      <c r="FW263" s="642"/>
      <c r="FX263" s="642"/>
      <c r="FY263" s="642"/>
      <c r="FZ263" s="642"/>
      <c r="GA263" s="642"/>
      <c r="GB263" s="642"/>
      <c r="GC263" s="642"/>
      <c r="GD263" s="642"/>
      <c r="GE263" s="642"/>
      <c r="GF263" s="642"/>
      <c r="GG263" s="642"/>
      <c r="GH263" s="642"/>
      <c r="GI263" s="642"/>
      <c r="GJ263" s="642"/>
      <c r="GK263" s="642"/>
      <c r="GL263" s="642"/>
      <c r="GM263" s="642"/>
      <c r="GN263" s="642"/>
      <c r="GO263" s="642"/>
      <c r="GP263" s="642"/>
      <c r="GQ263" s="642"/>
      <c r="GR263" s="642"/>
      <c r="GS263" s="642"/>
      <c r="GT263" s="642"/>
      <c r="GU263" s="642"/>
      <c r="GV263" s="642"/>
      <c r="GW263" s="642"/>
      <c r="GX263" s="642"/>
      <c r="GY263" s="642"/>
      <c r="GZ263" s="642"/>
      <c r="HA263" s="642"/>
      <c r="HB263" s="642"/>
      <c r="HC263" s="642"/>
      <c r="HD263" s="642"/>
      <c r="HE263" s="642"/>
      <c r="HF263" s="642"/>
      <c r="HG263" s="642"/>
      <c r="HH263" s="642"/>
      <c r="HI263" s="642"/>
      <c r="HJ263" s="642"/>
      <c r="HK263" s="642"/>
      <c r="HL263" s="642"/>
      <c r="HM263" s="642"/>
      <c r="HN263" s="642"/>
      <c r="HO263" s="642"/>
      <c r="HP263" s="642"/>
      <c r="HQ263" s="642"/>
      <c r="HR263" s="642"/>
      <c r="HS263" s="642"/>
      <c r="HT263" s="642"/>
      <c r="HU263" s="642"/>
      <c r="HV263" s="642"/>
      <c r="HW263" s="642"/>
      <c r="HX263" s="642"/>
      <c r="HY263" s="642"/>
      <c r="HZ263" s="642"/>
      <c r="IA263" s="642"/>
      <c r="IB263" s="642"/>
      <c r="IC263" s="642"/>
      <c r="ID263" s="642"/>
      <c r="IE263" s="642"/>
      <c r="IF263" s="642"/>
      <c r="IG263" s="642"/>
      <c r="IH263" s="642"/>
      <c r="II263" s="642"/>
      <c r="IJ263" s="642"/>
      <c r="IK263" s="642"/>
      <c r="IL263" s="642"/>
      <c r="IM263" s="642"/>
      <c r="IN263" s="642"/>
      <c r="IO263" s="642"/>
    </row>
    <row r="264" spans="1:249" ht="13.5" customHeight="1" x14ac:dyDescent="0.25">
      <c r="A264" s="789" t="s">
        <v>576</v>
      </c>
      <c r="B264" s="790"/>
      <c r="C264" s="790"/>
      <c r="D264" s="790"/>
      <c r="E264" s="791"/>
      <c r="F264" s="641"/>
      <c r="G264" s="642"/>
      <c r="H264" s="642"/>
      <c r="I264" s="642"/>
      <c r="J264" s="642"/>
      <c r="K264" s="642"/>
      <c r="L264" s="642"/>
      <c r="M264" s="642"/>
      <c r="N264" s="642"/>
      <c r="O264" s="642"/>
      <c r="P264" s="642"/>
      <c r="Q264" s="642"/>
      <c r="R264" s="642"/>
      <c r="S264" s="642"/>
      <c r="T264" s="642"/>
      <c r="U264" s="642"/>
      <c r="V264" s="642"/>
      <c r="W264" s="642"/>
      <c r="X264" s="642"/>
      <c r="Y264" s="642"/>
      <c r="Z264" s="642"/>
      <c r="AA264" s="642"/>
      <c r="AB264" s="642"/>
      <c r="AC264" s="642"/>
      <c r="AD264" s="642"/>
      <c r="AE264" s="642"/>
      <c r="AF264" s="642"/>
      <c r="AG264" s="642"/>
      <c r="AH264" s="642"/>
      <c r="AI264" s="642"/>
      <c r="AJ264" s="642"/>
      <c r="AK264" s="642"/>
      <c r="AL264" s="642"/>
      <c r="AM264" s="642"/>
      <c r="AN264" s="642"/>
      <c r="AO264" s="642"/>
      <c r="AP264" s="642"/>
      <c r="AQ264" s="642"/>
      <c r="AR264" s="642"/>
      <c r="AS264" s="642"/>
      <c r="AT264" s="642"/>
      <c r="AU264" s="642"/>
      <c r="AV264" s="642"/>
      <c r="AW264" s="642"/>
      <c r="AX264" s="642"/>
      <c r="AY264" s="642"/>
      <c r="AZ264" s="642"/>
      <c r="BA264" s="642"/>
      <c r="BB264" s="642"/>
      <c r="BC264" s="642"/>
      <c r="BD264" s="642"/>
      <c r="BE264" s="642"/>
      <c r="BF264" s="642"/>
      <c r="BG264" s="642"/>
      <c r="BH264" s="642"/>
      <c r="BI264" s="642"/>
      <c r="BJ264" s="642"/>
      <c r="BK264" s="642"/>
      <c r="BL264" s="642"/>
      <c r="BM264" s="642"/>
      <c r="BN264" s="642"/>
      <c r="BO264" s="642"/>
      <c r="BP264" s="642"/>
      <c r="BQ264" s="642"/>
      <c r="BR264" s="642"/>
      <c r="BS264" s="642"/>
      <c r="BT264" s="642"/>
      <c r="BU264" s="642"/>
      <c r="BV264" s="642"/>
      <c r="BW264" s="642"/>
      <c r="BX264" s="642"/>
      <c r="BY264" s="642"/>
      <c r="BZ264" s="642"/>
      <c r="CA264" s="642"/>
      <c r="CB264" s="642"/>
      <c r="CC264" s="642"/>
      <c r="CD264" s="642"/>
      <c r="CE264" s="642"/>
      <c r="CF264" s="642"/>
      <c r="CG264" s="642"/>
      <c r="CH264" s="642"/>
      <c r="CI264" s="642"/>
      <c r="CJ264" s="642"/>
      <c r="CK264" s="642"/>
      <c r="CL264" s="642"/>
      <c r="CM264" s="642"/>
      <c r="CN264" s="642"/>
      <c r="CO264" s="642"/>
      <c r="CP264" s="642"/>
      <c r="CQ264" s="642"/>
      <c r="CR264" s="642"/>
      <c r="CS264" s="642"/>
      <c r="CT264" s="642"/>
      <c r="CU264" s="642"/>
      <c r="CV264" s="642"/>
      <c r="CW264" s="642"/>
      <c r="CX264" s="642"/>
      <c r="CY264" s="642"/>
      <c r="CZ264" s="642"/>
      <c r="DA264" s="642"/>
      <c r="DB264" s="642"/>
      <c r="DC264" s="642"/>
      <c r="DD264" s="642"/>
      <c r="DE264" s="642"/>
      <c r="DF264" s="642"/>
      <c r="DG264" s="642"/>
      <c r="DH264" s="642"/>
      <c r="DI264" s="642"/>
      <c r="DJ264" s="642"/>
      <c r="DK264" s="642"/>
      <c r="DL264" s="642"/>
      <c r="DM264" s="642"/>
      <c r="DN264" s="642"/>
      <c r="DO264" s="642"/>
      <c r="DP264" s="642"/>
      <c r="DQ264" s="642"/>
      <c r="DR264" s="642"/>
      <c r="DS264" s="642"/>
      <c r="DT264" s="642"/>
      <c r="DU264" s="642"/>
      <c r="DV264" s="642"/>
      <c r="DW264" s="642"/>
      <c r="DX264" s="642"/>
      <c r="DY264" s="642"/>
      <c r="DZ264" s="642"/>
      <c r="EA264" s="642"/>
      <c r="EB264" s="642"/>
      <c r="EC264" s="642"/>
      <c r="ED264" s="642"/>
      <c r="EE264" s="642"/>
      <c r="EF264" s="642"/>
      <c r="EG264" s="642"/>
      <c r="EH264" s="642"/>
      <c r="EI264" s="642"/>
      <c r="EJ264" s="642"/>
      <c r="EK264" s="642"/>
      <c r="EL264" s="642"/>
      <c r="EM264" s="642"/>
      <c r="EN264" s="642"/>
      <c r="EO264" s="642"/>
      <c r="EP264" s="642"/>
      <c r="EQ264" s="642"/>
      <c r="ER264" s="642"/>
      <c r="ES264" s="642"/>
      <c r="ET264" s="642"/>
      <c r="EU264" s="642"/>
      <c r="EV264" s="642"/>
      <c r="EW264" s="642"/>
      <c r="EX264" s="642"/>
      <c r="EY264" s="642"/>
      <c r="EZ264" s="642"/>
      <c r="FA264" s="642"/>
      <c r="FB264" s="642"/>
      <c r="FC264" s="642"/>
      <c r="FD264" s="642"/>
      <c r="FE264" s="642"/>
      <c r="FF264" s="642"/>
      <c r="FG264" s="642"/>
      <c r="FH264" s="642"/>
      <c r="FI264" s="642"/>
      <c r="FJ264" s="642"/>
      <c r="FK264" s="642"/>
      <c r="FL264" s="642"/>
      <c r="FM264" s="642"/>
      <c r="FN264" s="642"/>
      <c r="FO264" s="642"/>
      <c r="FP264" s="642"/>
      <c r="FQ264" s="642"/>
      <c r="FR264" s="642"/>
      <c r="FS264" s="642"/>
      <c r="FT264" s="642"/>
      <c r="FU264" s="642"/>
      <c r="FV264" s="642"/>
      <c r="FW264" s="642"/>
      <c r="FX264" s="642"/>
      <c r="FY264" s="642"/>
      <c r="FZ264" s="642"/>
      <c r="GA264" s="642"/>
      <c r="GB264" s="642"/>
      <c r="GC264" s="642"/>
      <c r="GD264" s="642"/>
      <c r="GE264" s="642"/>
      <c r="GF264" s="642"/>
      <c r="GG264" s="642"/>
      <c r="GH264" s="642"/>
      <c r="GI264" s="642"/>
      <c r="GJ264" s="642"/>
      <c r="GK264" s="642"/>
      <c r="GL264" s="642"/>
      <c r="GM264" s="642"/>
      <c r="GN264" s="642"/>
      <c r="GO264" s="642"/>
      <c r="GP264" s="642"/>
      <c r="GQ264" s="642"/>
      <c r="GR264" s="642"/>
      <c r="GS264" s="642"/>
      <c r="GT264" s="642"/>
      <c r="GU264" s="642"/>
      <c r="GV264" s="642"/>
      <c r="GW264" s="642"/>
      <c r="GX264" s="642"/>
      <c r="GY264" s="642"/>
      <c r="GZ264" s="642"/>
      <c r="HA264" s="642"/>
      <c r="HB264" s="642"/>
      <c r="HC264" s="642"/>
      <c r="HD264" s="642"/>
      <c r="HE264" s="642"/>
      <c r="HF264" s="642"/>
      <c r="HG264" s="642"/>
      <c r="HH264" s="642"/>
      <c r="HI264" s="642"/>
      <c r="HJ264" s="642"/>
      <c r="HK264" s="642"/>
      <c r="HL264" s="642"/>
      <c r="HM264" s="642"/>
      <c r="HN264" s="642"/>
      <c r="HO264" s="642"/>
      <c r="HP264" s="642"/>
      <c r="HQ264" s="642"/>
      <c r="HR264" s="642"/>
      <c r="HS264" s="642"/>
      <c r="HT264" s="642"/>
      <c r="HU264" s="642"/>
      <c r="HV264" s="642"/>
      <c r="HW264" s="642"/>
      <c r="HX264" s="642"/>
      <c r="HY264" s="642"/>
      <c r="HZ264" s="642"/>
      <c r="IA264" s="642"/>
      <c r="IB264" s="642"/>
      <c r="IC264" s="642"/>
      <c r="ID264" s="642"/>
      <c r="IE264" s="642"/>
      <c r="IF264" s="642"/>
      <c r="IG264" s="642"/>
      <c r="IH264" s="642"/>
      <c r="II264" s="642"/>
      <c r="IJ264" s="642"/>
      <c r="IK264" s="642"/>
      <c r="IL264" s="642"/>
      <c r="IM264" s="642"/>
      <c r="IN264" s="642"/>
      <c r="IO264" s="642"/>
    </row>
    <row r="265" spans="1:249" ht="33.75" customHeight="1" x14ac:dyDescent="0.25">
      <c r="A265" s="633" t="s">
        <v>577</v>
      </c>
      <c r="B265" s="584" t="s">
        <v>386</v>
      </c>
      <c r="C265" s="594">
        <v>91</v>
      </c>
      <c r="D265" s="375">
        <v>91</v>
      </c>
      <c r="E265" s="557">
        <f>SUM(D265/C265*100)</f>
        <v>100</v>
      </c>
      <c r="F265" s="641"/>
      <c r="G265" s="642"/>
      <c r="H265" s="642"/>
      <c r="I265" s="642"/>
      <c r="J265" s="642"/>
      <c r="K265" s="642"/>
      <c r="L265" s="642"/>
      <c r="M265" s="642"/>
      <c r="N265" s="642"/>
      <c r="O265" s="642"/>
      <c r="P265" s="642"/>
      <c r="Q265" s="642"/>
      <c r="R265" s="642"/>
      <c r="S265" s="642"/>
      <c r="T265" s="642"/>
      <c r="U265" s="642"/>
      <c r="V265" s="642"/>
      <c r="W265" s="642"/>
      <c r="X265" s="642"/>
      <c r="Y265" s="642"/>
      <c r="Z265" s="642"/>
      <c r="AA265" s="642"/>
      <c r="AB265" s="642"/>
      <c r="AC265" s="642"/>
      <c r="AD265" s="642"/>
      <c r="AE265" s="642"/>
      <c r="AF265" s="642"/>
      <c r="AG265" s="642"/>
      <c r="AH265" s="642"/>
      <c r="AI265" s="642"/>
      <c r="AJ265" s="642"/>
      <c r="AK265" s="642"/>
      <c r="AL265" s="642"/>
      <c r="AM265" s="642"/>
      <c r="AN265" s="642"/>
      <c r="AO265" s="642"/>
      <c r="AP265" s="642"/>
      <c r="AQ265" s="642"/>
      <c r="AR265" s="642"/>
      <c r="AS265" s="642"/>
      <c r="AT265" s="642"/>
      <c r="AU265" s="642"/>
      <c r="AV265" s="642"/>
      <c r="AW265" s="642"/>
      <c r="AX265" s="642"/>
      <c r="AY265" s="642"/>
      <c r="AZ265" s="642"/>
      <c r="BA265" s="642"/>
      <c r="BB265" s="642"/>
      <c r="BC265" s="642"/>
      <c r="BD265" s="642"/>
      <c r="BE265" s="642"/>
      <c r="BF265" s="642"/>
      <c r="BG265" s="642"/>
      <c r="BH265" s="642"/>
      <c r="BI265" s="642"/>
      <c r="BJ265" s="642"/>
      <c r="BK265" s="642"/>
      <c r="BL265" s="642"/>
      <c r="BM265" s="642"/>
      <c r="BN265" s="642"/>
      <c r="BO265" s="642"/>
      <c r="BP265" s="642"/>
      <c r="BQ265" s="642"/>
      <c r="BR265" s="642"/>
      <c r="BS265" s="642"/>
      <c r="BT265" s="642"/>
      <c r="BU265" s="642"/>
      <c r="BV265" s="642"/>
      <c r="BW265" s="642"/>
      <c r="BX265" s="642"/>
      <c r="BY265" s="642"/>
      <c r="BZ265" s="642"/>
      <c r="CA265" s="642"/>
      <c r="CB265" s="642"/>
      <c r="CC265" s="642"/>
      <c r="CD265" s="642"/>
      <c r="CE265" s="642"/>
      <c r="CF265" s="642"/>
      <c r="CG265" s="642"/>
      <c r="CH265" s="642"/>
      <c r="CI265" s="642"/>
      <c r="CJ265" s="642"/>
      <c r="CK265" s="642"/>
      <c r="CL265" s="642"/>
      <c r="CM265" s="642"/>
      <c r="CN265" s="642"/>
      <c r="CO265" s="642"/>
      <c r="CP265" s="642"/>
      <c r="CQ265" s="642"/>
      <c r="CR265" s="642"/>
      <c r="CS265" s="642"/>
      <c r="CT265" s="642"/>
      <c r="CU265" s="642"/>
      <c r="CV265" s="642"/>
      <c r="CW265" s="642"/>
      <c r="CX265" s="642"/>
      <c r="CY265" s="642"/>
      <c r="CZ265" s="642"/>
      <c r="DA265" s="642"/>
      <c r="DB265" s="642"/>
      <c r="DC265" s="642"/>
      <c r="DD265" s="642"/>
      <c r="DE265" s="642"/>
      <c r="DF265" s="642"/>
      <c r="DG265" s="642"/>
      <c r="DH265" s="642"/>
      <c r="DI265" s="642"/>
      <c r="DJ265" s="642"/>
      <c r="DK265" s="642"/>
      <c r="DL265" s="642"/>
      <c r="DM265" s="642"/>
      <c r="DN265" s="642"/>
      <c r="DO265" s="642"/>
      <c r="DP265" s="642"/>
      <c r="DQ265" s="642"/>
      <c r="DR265" s="642"/>
      <c r="DS265" s="642"/>
      <c r="DT265" s="642"/>
      <c r="DU265" s="642"/>
      <c r="DV265" s="642"/>
      <c r="DW265" s="642"/>
      <c r="DX265" s="642"/>
      <c r="DY265" s="642"/>
      <c r="DZ265" s="642"/>
      <c r="EA265" s="642"/>
      <c r="EB265" s="642"/>
      <c r="EC265" s="642"/>
      <c r="ED265" s="642"/>
      <c r="EE265" s="642"/>
      <c r="EF265" s="642"/>
      <c r="EG265" s="642"/>
      <c r="EH265" s="642"/>
      <c r="EI265" s="642"/>
      <c r="EJ265" s="642"/>
      <c r="EK265" s="642"/>
      <c r="EL265" s="642"/>
      <c r="EM265" s="642"/>
      <c r="EN265" s="642"/>
      <c r="EO265" s="642"/>
      <c r="EP265" s="642"/>
      <c r="EQ265" s="642"/>
      <c r="ER265" s="642"/>
      <c r="ES265" s="642"/>
      <c r="ET265" s="642"/>
      <c r="EU265" s="642"/>
      <c r="EV265" s="642"/>
      <c r="EW265" s="642"/>
      <c r="EX265" s="642"/>
      <c r="EY265" s="642"/>
      <c r="EZ265" s="642"/>
      <c r="FA265" s="642"/>
      <c r="FB265" s="642"/>
      <c r="FC265" s="642"/>
      <c r="FD265" s="642"/>
      <c r="FE265" s="642"/>
      <c r="FF265" s="642"/>
      <c r="FG265" s="642"/>
      <c r="FH265" s="642"/>
      <c r="FI265" s="642"/>
      <c r="FJ265" s="642"/>
      <c r="FK265" s="642"/>
      <c r="FL265" s="642"/>
      <c r="FM265" s="642"/>
      <c r="FN265" s="642"/>
      <c r="FO265" s="642"/>
      <c r="FP265" s="642"/>
      <c r="FQ265" s="642"/>
      <c r="FR265" s="642"/>
      <c r="FS265" s="642"/>
      <c r="FT265" s="642"/>
      <c r="FU265" s="642"/>
      <c r="FV265" s="642"/>
      <c r="FW265" s="642"/>
      <c r="FX265" s="642"/>
      <c r="FY265" s="642"/>
      <c r="FZ265" s="642"/>
      <c r="GA265" s="642"/>
      <c r="GB265" s="642"/>
      <c r="GC265" s="642"/>
      <c r="GD265" s="642"/>
      <c r="GE265" s="642"/>
      <c r="GF265" s="642"/>
      <c r="GG265" s="642"/>
      <c r="GH265" s="642"/>
      <c r="GI265" s="642"/>
      <c r="GJ265" s="642"/>
      <c r="GK265" s="642"/>
      <c r="GL265" s="642"/>
      <c r="GM265" s="642"/>
      <c r="GN265" s="642"/>
      <c r="GO265" s="642"/>
      <c r="GP265" s="642"/>
      <c r="GQ265" s="642"/>
      <c r="GR265" s="642"/>
      <c r="GS265" s="642"/>
      <c r="GT265" s="642"/>
      <c r="GU265" s="642"/>
      <c r="GV265" s="642"/>
      <c r="GW265" s="642"/>
      <c r="GX265" s="642"/>
      <c r="GY265" s="642"/>
      <c r="GZ265" s="642"/>
      <c r="HA265" s="642"/>
      <c r="HB265" s="642"/>
      <c r="HC265" s="642"/>
      <c r="HD265" s="642"/>
      <c r="HE265" s="642"/>
      <c r="HF265" s="642"/>
      <c r="HG265" s="642"/>
      <c r="HH265" s="642"/>
      <c r="HI265" s="642"/>
      <c r="HJ265" s="642"/>
      <c r="HK265" s="642"/>
      <c r="HL265" s="642"/>
      <c r="HM265" s="642"/>
      <c r="HN265" s="642"/>
      <c r="HO265" s="642"/>
      <c r="HP265" s="642"/>
      <c r="HQ265" s="642"/>
      <c r="HR265" s="642"/>
      <c r="HS265" s="642"/>
      <c r="HT265" s="642"/>
      <c r="HU265" s="642"/>
      <c r="HV265" s="642"/>
      <c r="HW265" s="642"/>
      <c r="HX265" s="642"/>
      <c r="HY265" s="642"/>
      <c r="HZ265" s="642"/>
      <c r="IA265" s="642"/>
      <c r="IB265" s="642"/>
      <c r="IC265" s="642"/>
      <c r="ID265" s="642"/>
      <c r="IE265" s="642"/>
      <c r="IF265" s="642"/>
      <c r="IG265" s="642"/>
      <c r="IH265" s="642"/>
      <c r="II265" s="642"/>
      <c r="IJ265" s="642"/>
      <c r="IK265" s="642"/>
      <c r="IL265" s="642"/>
      <c r="IM265" s="642"/>
      <c r="IN265" s="642"/>
      <c r="IO265" s="642"/>
    </row>
    <row r="266" spans="1:249" ht="33.75" customHeight="1" x14ac:dyDescent="0.25">
      <c r="A266" s="633" t="s">
        <v>578</v>
      </c>
      <c r="B266" s="267" t="s">
        <v>579</v>
      </c>
      <c r="C266" s="368">
        <v>54.5</v>
      </c>
      <c r="D266" s="430">
        <v>52.7</v>
      </c>
      <c r="E266" s="557">
        <f>SUM(D266/C266*100)</f>
        <v>96.697247706422019</v>
      </c>
      <c r="F266" s="641"/>
      <c r="G266" s="642"/>
      <c r="H266" s="642"/>
      <c r="I266" s="642"/>
      <c r="J266" s="642"/>
      <c r="K266" s="642"/>
      <c r="L266" s="642"/>
      <c r="M266" s="642"/>
      <c r="N266" s="642"/>
      <c r="O266" s="642"/>
      <c r="P266" s="642"/>
      <c r="Q266" s="642"/>
      <c r="R266" s="642"/>
      <c r="S266" s="642"/>
      <c r="T266" s="642"/>
      <c r="U266" s="642"/>
      <c r="V266" s="642"/>
      <c r="W266" s="642"/>
      <c r="X266" s="642"/>
      <c r="Y266" s="642"/>
      <c r="Z266" s="642"/>
      <c r="AA266" s="642"/>
      <c r="AB266" s="642"/>
      <c r="AC266" s="642"/>
      <c r="AD266" s="642"/>
      <c r="AE266" s="642"/>
      <c r="AF266" s="642"/>
      <c r="AG266" s="642"/>
      <c r="AH266" s="642"/>
      <c r="AI266" s="642"/>
      <c r="AJ266" s="642"/>
      <c r="AK266" s="642"/>
      <c r="AL266" s="642"/>
      <c r="AM266" s="642"/>
      <c r="AN266" s="642"/>
      <c r="AO266" s="642"/>
      <c r="AP266" s="642"/>
      <c r="AQ266" s="642"/>
      <c r="AR266" s="642"/>
      <c r="AS266" s="642"/>
      <c r="AT266" s="642"/>
      <c r="AU266" s="642"/>
      <c r="AV266" s="642"/>
      <c r="AW266" s="642"/>
      <c r="AX266" s="642"/>
      <c r="AY266" s="642"/>
      <c r="AZ266" s="642"/>
      <c r="BA266" s="642"/>
      <c r="BB266" s="642"/>
      <c r="BC266" s="642"/>
      <c r="BD266" s="642"/>
      <c r="BE266" s="642"/>
      <c r="BF266" s="642"/>
      <c r="BG266" s="642"/>
      <c r="BH266" s="642"/>
      <c r="BI266" s="642"/>
      <c r="BJ266" s="642"/>
      <c r="BK266" s="642"/>
      <c r="BL266" s="642"/>
      <c r="BM266" s="642"/>
      <c r="BN266" s="642"/>
      <c r="BO266" s="642"/>
      <c r="BP266" s="642"/>
      <c r="BQ266" s="642"/>
      <c r="BR266" s="642"/>
      <c r="BS266" s="642"/>
      <c r="BT266" s="642"/>
      <c r="BU266" s="642"/>
      <c r="BV266" s="642"/>
      <c r="BW266" s="642"/>
      <c r="BX266" s="642"/>
      <c r="BY266" s="642"/>
      <c r="BZ266" s="642"/>
      <c r="CA266" s="642"/>
      <c r="CB266" s="642"/>
      <c r="CC266" s="642"/>
      <c r="CD266" s="642"/>
      <c r="CE266" s="642"/>
      <c r="CF266" s="642"/>
      <c r="CG266" s="642"/>
      <c r="CH266" s="642"/>
      <c r="CI266" s="642"/>
      <c r="CJ266" s="642"/>
      <c r="CK266" s="642"/>
      <c r="CL266" s="642"/>
      <c r="CM266" s="642"/>
      <c r="CN266" s="642"/>
      <c r="CO266" s="642"/>
      <c r="CP266" s="642"/>
      <c r="CQ266" s="642"/>
      <c r="CR266" s="642"/>
      <c r="CS266" s="642"/>
      <c r="CT266" s="642"/>
      <c r="CU266" s="642"/>
      <c r="CV266" s="642"/>
      <c r="CW266" s="642"/>
      <c r="CX266" s="642"/>
      <c r="CY266" s="642"/>
      <c r="CZ266" s="642"/>
      <c r="DA266" s="642"/>
      <c r="DB266" s="642"/>
      <c r="DC266" s="642"/>
      <c r="DD266" s="642"/>
      <c r="DE266" s="642"/>
      <c r="DF266" s="642"/>
      <c r="DG266" s="642"/>
      <c r="DH266" s="642"/>
      <c r="DI266" s="642"/>
      <c r="DJ266" s="642"/>
      <c r="DK266" s="642"/>
      <c r="DL266" s="642"/>
      <c r="DM266" s="642"/>
      <c r="DN266" s="642"/>
      <c r="DO266" s="642"/>
      <c r="DP266" s="642"/>
      <c r="DQ266" s="642"/>
      <c r="DR266" s="642"/>
      <c r="DS266" s="642"/>
      <c r="DT266" s="642"/>
      <c r="DU266" s="642"/>
      <c r="DV266" s="642"/>
      <c r="DW266" s="642"/>
      <c r="DX266" s="642"/>
      <c r="DY266" s="642"/>
      <c r="DZ266" s="642"/>
      <c r="EA266" s="642"/>
      <c r="EB266" s="642"/>
      <c r="EC266" s="642"/>
      <c r="ED266" s="642"/>
      <c r="EE266" s="642"/>
      <c r="EF266" s="642"/>
      <c r="EG266" s="642"/>
      <c r="EH266" s="642"/>
      <c r="EI266" s="642"/>
      <c r="EJ266" s="642"/>
      <c r="EK266" s="642"/>
      <c r="EL266" s="642"/>
      <c r="EM266" s="642"/>
      <c r="EN266" s="642"/>
      <c r="EO266" s="642"/>
      <c r="EP266" s="642"/>
      <c r="EQ266" s="642"/>
      <c r="ER266" s="642"/>
      <c r="ES266" s="642"/>
      <c r="ET266" s="642"/>
      <c r="EU266" s="642"/>
      <c r="EV266" s="642"/>
      <c r="EW266" s="642"/>
      <c r="EX266" s="642"/>
      <c r="EY266" s="642"/>
      <c r="EZ266" s="642"/>
      <c r="FA266" s="642"/>
      <c r="FB266" s="642"/>
      <c r="FC266" s="642"/>
      <c r="FD266" s="642"/>
      <c r="FE266" s="642"/>
      <c r="FF266" s="642"/>
      <c r="FG266" s="642"/>
      <c r="FH266" s="642"/>
      <c r="FI266" s="642"/>
      <c r="FJ266" s="642"/>
      <c r="FK266" s="642"/>
      <c r="FL266" s="642"/>
      <c r="FM266" s="642"/>
      <c r="FN266" s="642"/>
      <c r="FO266" s="642"/>
      <c r="FP266" s="642"/>
      <c r="FQ266" s="642"/>
      <c r="FR266" s="642"/>
      <c r="FS266" s="642"/>
      <c r="FT266" s="642"/>
      <c r="FU266" s="642"/>
      <c r="FV266" s="642"/>
      <c r="FW266" s="642"/>
      <c r="FX266" s="642"/>
      <c r="FY266" s="642"/>
      <c r="FZ266" s="642"/>
      <c r="GA266" s="642"/>
      <c r="GB266" s="642"/>
      <c r="GC266" s="642"/>
      <c r="GD266" s="642"/>
      <c r="GE266" s="642"/>
      <c r="GF266" s="642"/>
      <c r="GG266" s="642"/>
      <c r="GH266" s="642"/>
      <c r="GI266" s="642"/>
      <c r="GJ266" s="642"/>
      <c r="GK266" s="642"/>
      <c r="GL266" s="642"/>
      <c r="GM266" s="642"/>
      <c r="GN266" s="642"/>
      <c r="GO266" s="642"/>
      <c r="GP266" s="642"/>
      <c r="GQ266" s="642"/>
      <c r="GR266" s="642"/>
      <c r="GS266" s="642"/>
      <c r="GT266" s="642"/>
      <c r="GU266" s="642"/>
      <c r="GV266" s="642"/>
      <c r="GW266" s="642"/>
      <c r="GX266" s="642"/>
      <c r="GY266" s="642"/>
      <c r="GZ266" s="642"/>
      <c r="HA266" s="642"/>
      <c r="HB266" s="642"/>
      <c r="HC266" s="642"/>
      <c r="HD266" s="642"/>
      <c r="HE266" s="642"/>
      <c r="HF266" s="642"/>
      <c r="HG266" s="642"/>
      <c r="HH266" s="642"/>
      <c r="HI266" s="642"/>
      <c r="HJ266" s="642"/>
      <c r="HK266" s="642"/>
      <c r="HL266" s="642"/>
      <c r="HM266" s="642"/>
      <c r="HN266" s="642"/>
      <c r="HO266" s="642"/>
      <c r="HP266" s="642"/>
      <c r="HQ266" s="642"/>
      <c r="HR266" s="642"/>
      <c r="HS266" s="642"/>
      <c r="HT266" s="642"/>
      <c r="HU266" s="642"/>
      <c r="HV266" s="642"/>
      <c r="HW266" s="642"/>
      <c r="HX266" s="642"/>
      <c r="HY266" s="642"/>
      <c r="HZ266" s="642"/>
      <c r="IA266" s="642"/>
      <c r="IB266" s="642"/>
      <c r="IC266" s="642"/>
      <c r="ID266" s="642"/>
      <c r="IE266" s="642"/>
      <c r="IF266" s="642"/>
      <c r="IG266" s="642"/>
      <c r="IH266" s="642"/>
      <c r="II266" s="642"/>
      <c r="IJ266" s="642"/>
      <c r="IK266" s="642"/>
      <c r="IL266" s="642"/>
      <c r="IM266" s="642"/>
      <c r="IN266" s="642"/>
      <c r="IO266" s="642"/>
    </row>
    <row r="267" spans="1:249" ht="47.25" x14ac:dyDescent="0.25">
      <c r="A267" s="633" t="s">
        <v>580</v>
      </c>
      <c r="B267" s="267" t="s">
        <v>579</v>
      </c>
      <c r="C267" s="430">
        <v>7.75</v>
      </c>
      <c r="D267" s="430">
        <v>9.8000000000000007</v>
      </c>
      <c r="E267" s="557">
        <v>100</v>
      </c>
      <c r="F267" s="641"/>
      <c r="G267" s="642"/>
      <c r="H267" s="642"/>
      <c r="I267" s="642"/>
      <c r="J267" s="642"/>
      <c r="K267" s="642"/>
      <c r="L267" s="642"/>
      <c r="M267" s="642"/>
      <c r="N267" s="642"/>
      <c r="O267" s="642"/>
      <c r="P267" s="642"/>
      <c r="Q267" s="642"/>
      <c r="R267" s="642"/>
      <c r="S267" s="642"/>
      <c r="T267" s="642"/>
      <c r="U267" s="642"/>
      <c r="V267" s="642"/>
      <c r="W267" s="642"/>
      <c r="X267" s="642"/>
      <c r="Y267" s="642"/>
      <c r="Z267" s="642"/>
      <c r="AA267" s="642"/>
      <c r="AB267" s="642"/>
      <c r="AC267" s="642"/>
      <c r="AD267" s="642"/>
      <c r="AE267" s="642"/>
      <c r="AF267" s="642"/>
      <c r="AG267" s="642"/>
      <c r="AH267" s="642"/>
      <c r="AI267" s="642"/>
      <c r="AJ267" s="642"/>
      <c r="AK267" s="642"/>
      <c r="AL267" s="642"/>
      <c r="AM267" s="642"/>
      <c r="AN267" s="642"/>
      <c r="AO267" s="642"/>
      <c r="AP267" s="642"/>
      <c r="AQ267" s="642"/>
      <c r="AR267" s="642"/>
      <c r="AS267" s="642"/>
      <c r="AT267" s="642"/>
      <c r="AU267" s="642"/>
      <c r="AV267" s="642"/>
      <c r="AW267" s="642"/>
      <c r="AX267" s="642"/>
      <c r="AY267" s="642"/>
      <c r="AZ267" s="642"/>
      <c r="BA267" s="642"/>
      <c r="BB267" s="642"/>
      <c r="BC267" s="642"/>
      <c r="BD267" s="642"/>
      <c r="BE267" s="642"/>
      <c r="BF267" s="642"/>
      <c r="BG267" s="642"/>
      <c r="BH267" s="642"/>
      <c r="BI267" s="642"/>
      <c r="BJ267" s="642"/>
      <c r="BK267" s="642"/>
      <c r="BL267" s="642"/>
      <c r="BM267" s="642"/>
      <c r="BN267" s="642"/>
      <c r="BO267" s="642"/>
      <c r="BP267" s="642"/>
      <c r="BQ267" s="642"/>
      <c r="BR267" s="642"/>
      <c r="BS267" s="642"/>
      <c r="BT267" s="642"/>
      <c r="BU267" s="642"/>
      <c r="BV267" s="642"/>
      <c r="BW267" s="642"/>
      <c r="BX267" s="642"/>
      <c r="BY267" s="642"/>
      <c r="BZ267" s="642"/>
      <c r="CA267" s="642"/>
      <c r="CB267" s="642"/>
      <c r="CC267" s="642"/>
      <c r="CD267" s="642"/>
      <c r="CE267" s="642"/>
      <c r="CF267" s="642"/>
      <c r="CG267" s="642"/>
      <c r="CH267" s="642"/>
      <c r="CI267" s="642"/>
      <c r="CJ267" s="642"/>
      <c r="CK267" s="642"/>
      <c r="CL267" s="642"/>
      <c r="CM267" s="642"/>
      <c r="CN267" s="642"/>
      <c r="CO267" s="642"/>
      <c r="CP267" s="642"/>
      <c r="CQ267" s="642"/>
      <c r="CR267" s="642"/>
      <c r="CS267" s="642"/>
      <c r="CT267" s="642"/>
      <c r="CU267" s="642"/>
      <c r="CV267" s="642"/>
      <c r="CW267" s="642"/>
      <c r="CX267" s="642"/>
      <c r="CY267" s="642"/>
      <c r="CZ267" s="642"/>
      <c r="DA267" s="642"/>
      <c r="DB267" s="642"/>
      <c r="DC267" s="642"/>
      <c r="DD267" s="642"/>
      <c r="DE267" s="642"/>
      <c r="DF267" s="642"/>
      <c r="DG267" s="642"/>
      <c r="DH267" s="642"/>
      <c r="DI267" s="642"/>
      <c r="DJ267" s="642"/>
      <c r="DK267" s="642"/>
      <c r="DL267" s="642"/>
      <c r="DM267" s="642"/>
      <c r="DN267" s="642"/>
      <c r="DO267" s="642"/>
      <c r="DP267" s="642"/>
      <c r="DQ267" s="642"/>
      <c r="DR267" s="642"/>
      <c r="DS267" s="642"/>
      <c r="DT267" s="642"/>
      <c r="DU267" s="642"/>
      <c r="DV267" s="642"/>
      <c r="DW267" s="642"/>
      <c r="DX267" s="642"/>
      <c r="DY267" s="642"/>
      <c r="DZ267" s="642"/>
      <c r="EA267" s="642"/>
      <c r="EB267" s="642"/>
      <c r="EC267" s="642"/>
      <c r="ED267" s="642"/>
      <c r="EE267" s="642"/>
      <c r="EF267" s="642"/>
      <c r="EG267" s="642"/>
      <c r="EH267" s="642"/>
      <c r="EI267" s="642"/>
      <c r="EJ267" s="642"/>
      <c r="EK267" s="642"/>
      <c r="EL267" s="642"/>
      <c r="EM267" s="642"/>
      <c r="EN267" s="642"/>
      <c r="EO267" s="642"/>
      <c r="EP267" s="642"/>
      <c r="EQ267" s="642"/>
      <c r="ER267" s="642"/>
      <c r="ES267" s="642"/>
      <c r="ET267" s="642"/>
      <c r="EU267" s="642"/>
      <c r="EV267" s="642"/>
      <c r="EW267" s="642"/>
      <c r="EX267" s="642"/>
      <c r="EY267" s="642"/>
      <c r="EZ267" s="642"/>
      <c r="FA267" s="642"/>
      <c r="FB267" s="642"/>
      <c r="FC267" s="642"/>
      <c r="FD267" s="642"/>
      <c r="FE267" s="642"/>
      <c r="FF267" s="642"/>
      <c r="FG267" s="642"/>
      <c r="FH267" s="642"/>
      <c r="FI267" s="642"/>
      <c r="FJ267" s="642"/>
      <c r="FK267" s="642"/>
      <c r="FL267" s="642"/>
      <c r="FM267" s="642"/>
      <c r="FN267" s="642"/>
      <c r="FO267" s="642"/>
      <c r="FP267" s="642"/>
      <c r="FQ267" s="642"/>
      <c r="FR267" s="642"/>
      <c r="FS267" s="642"/>
      <c r="FT267" s="642"/>
      <c r="FU267" s="642"/>
      <c r="FV267" s="642"/>
      <c r="FW267" s="642"/>
      <c r="FX267" s="642"/>
      <c r="FY267" s="642"/>
      <c r="FZ267" s="642"/>
      <c r="GA267" s="642"/>
      <c r="GB267" s="642"/>
      <c r="GC267" s="642"/>
      <c r="GD267" s="642"/>
      <c r="GE267" s="642"/>
      <c r="GF267" s="642"/>
      <c r="GG267" s="642"/>
      <c r="GH267" s="642"/>
      <c r="GI267" s="642"/>
      <c r="GJ267" s="642"/>
      <c r="GK267" s="642"/>
      <c r="GL267" s="642"/>
      <c r="GM267" s="642"/>
      <c r="GN267" s="642"/>
      <c r="GO267" s="642"/>
      <c r="GP267" s="642"/>
      <c r="GQ267" s="642"/>
      <c r="GR267" s="642"/>
      <c r="GS267" s="642"/>
      <c r="GT267" s="642"/>
      <c r="GU267" s="642"/>
      <c r="GV267" s="642"/>
      <c r="GW267" s="642"/>
      <c r="GX267" s="642"/>
      <c r="GY267" s="642"/>
      <c r="GZ267" s="642"/>
      <c r="HA267" s="642"/>
      <c r="HB267" s="642"/>
      <c r="HC267" s="642"/>
      <c r="HD267" s="642"/>
      <c r="HE267" s="642"/>
      <c r="HF267" s="642"/>
      <c r="HG267" s="642"/>
      <c r="HH267" s="642"/>
      <c r="HI267" s="642"/>
      <c r="HJ267" s="642"/>
      <c r="HK267" s="642"/>
      <c r="HL267" s="642"/>
      <c r="HM267" s="642"/>
      <c r="HN267" s="642"/>
      <c r="HO267" s="642"/>
      <c r="HP267" s="642"/>
      <c r="HQ267" s="642"/>
      <c r="HR267" s="642"/>
      <c r="HS267" s="642"/>
      <c r="HT267" s="642"/>
      <c r="HU267" s="642"/>
      <c r="HV267" s="642"/>
      <c r="HW267" s="642"/>
      <c r="HX267" s="642"/>
      <c r="HY267" s="642"/>
      <c r="HZ267" s="642"/>
      <c r="IA267" s="642"/>
      <c r="IB267" s="642"/>
      <c r="IC267" s="642"/>
      <c r="ID267" s="642"/>
      <c r="IE267" s="642"/>
      <c r="IF267" s="642"/>
      <c r="IG267" s="642"/>
      <c r="IH267" s="642"/>
      <c r="II267" s="642"/>
      <c r="IJ267" s="642"/>
      <c r="IK267" s="642"/>
      <c r="IL267" s="642"/>
      <c r="IM267" s="642"/>
      <c r="IN267" s="642"/>
      <c r="IO267" s="642"/>
    </row>
    <row r="268" spans="1:249" ht="18" customHeight="1" x14ac:dyDescent="0.25">
      <c r="A268" s="633" t="s">
        <v>581</v>
      </c>
      <c r="B268" s="267" t="s">
        <v>395</v>
      </c>
      <c r="C268" s="369">
        <v>235</v>
      </c>
      <c r="D268" s="369">
        <v>235</v>
      </c>
      <c r="E268" s="557">
        <f t="shared" ref="E268" si="18">SUM(D268/C268*100)</f>
        <v>100</v>
      </c>
      <c r="F268" s="641"/>
      <c r="G268" s="642"/>
      <c r="H268" s="642"/>
      <c r="I268" s="642"/>
      <c r="J268" s="642"/>
      <c r="K268" s="642"/>
      <c r="L268" s="642"/>
      <c r="M268" s="642"/>
      <c r="N268" s="642"/>
      <c r="O268" s="642"/>
      <c r="P268" s="642"/>
      <c r="Q268" s="642"/>
      <c r="R268" s="642"/>
      <c r="S268" s="642"/>
      <c r="T268" s="642"/>
      <c r="U268" s="642"/>
      <c r="V268" s="642"/>
      <c r="W268" s="642"/>
      <c r="X268" s="642"/>
      <c r="Y268" s="642"/>
      <c r="Z268" s="642"/>
      <c r="AA268" s="642"/>
      <c r="AB268" s="642"/>
      <c r="AC268" s="642"/>
      <c r="AD268" s="642"/>
      <c r="AE268" s="642"/>
      <c r="AF268" s="642"/>
      <c r="AG268" s="642"/>
      <c r="AH268" s="642"/>
      <c r="AI268" s="642"/>
      <c r="AJ268" s="642"/>
      <c r="AK268" s="642"/>
      <c r="AL268" s="642"/>
      <c r="AM268" s="642"/>
      <c r="AN268" s="642"/>
      <c r="AO268" s="642"/>
      <c r="AP268" s="642"/>
      <c r="AQ268" s="642"/>
      <c r="AR268" s="642"/>
      <c r="AS268" s="642"/>
      <c r="AT268" s="642"/>
      <c r="AU268" s="642"/>
      <c r="AV268" s="642"/>
      <c r="AW268" s="642"/>
      <c r="AX268" s="642"/>
      <c r="AY268" s="642"/>
      <c r="AZ268" s="642"/>
      <c r="BA268" s="642"/>
      <c r="BB268" s="642"/>
      <c r="BC268" s="642"/>
      <c r="BD268" s="642"/>
      <c r="BE268" s="642"/>
      <c r="BF268" s="642"/>
      <c r="BG268" s="642"/>
      <c r="BH268" s="642"/>
      <c r="BI268" s="642"/>
      <c r="BJ268" s="642"/>
      <c r="BK268" s="642"/>
      <c r="BL268" s="642"/>
      <c r="BM268" s="642"/>
      <c r="BN268" s="642"/>
      <c r="BO268" s="642"/>
      <c r="BP268" s="642"/>
      <c r="BQ268" s="642"/>
      <c r="BR268" s="642"/>
      <c r="BS268" s="642"/>
      <c r="BT268" s="642"/>
      <c r="BU268" s="642"/>
      <c r="BV268" s="642"/>
      <c r="BW268" s="642"/>
      <c r="BX268" s="642"/>
      <c r="BY268" s="642"/>
      <c r="BZ268" s="642"/>
      <c r="CA268" s="642"/>
      <c r="CB268" s="642"/>
      <c r="CC268" s="642"/>
      <c r="CD268" s="642"/>
      <c r="CE268" s="642"/>
      <c r="CF268" s="642"/>
      <c r="CG268" s="642"/>
      <c r="CH268" s="642"/>
      <c r="CI268" s="642"/>
      <c r="CJ268" s="642"/>
      <c r="CK268" s="642"/>
      <c r="CL268" s="642"/>
      <c r="CM268" s="642"/>
      <c r="CN268" s="642"/>
      <c r="CO268" s="642"/>
      <c r="CP268" s="642"/>
      <c r="CQ268" s="642"/>
      <c r="CR268" s="642"/>
      <c r="CS268" s="642"/>
      <c r="CT268" s="642"/>
      <c r="CU268" s="642"/>
      <c r="CV268" s="642"/>
      <c r="CW268" s="642"/>
      <c r="CX268" s="642"/>
      <c r="CY268" s="642"/>
      <c r="CZ268" s="642"/>
      <c r="DA268" s="642"/>
      <c r="DB268" s="642"/>
      <c r="DC268" s="642"/>
      <c r="DD268" s="642"/>
      <c r="DE268" s="642"/>
      <c r="DF268" s="642"/>
      <c r="DG268" s="642"/>
      <c r="DH268" s="642"/>
      <c r="DI268" s="642"/>
      <c r="DJ268" s="642"/>
      <c r="DK268" s="642"/>
      <c r="DL268" s="642"/>
      <c r="DM268" s="642"/>
      <c r="DN268" s="642"/>
      <c r="DO268" s="642"/>
      <c r="DP268" s="642"/>
      <c r="DQ268" s="642"/>
      <c r="DR268" s="642"/>
      <c r="DS268" s="642"/>
      <c r="DT268" s="642"/>
      <c r="DU268" s="642"/>
      <c r="DV268" s="642"/>
      <c r="DW268" s="642"/>
      <c r="DX268" s="642"/>
      <c r="DY268" s="642"/>
      <c r="DZ268" s="642"/>
      <c r="EA268" s="642"/>
      <c r="EB268" s="642"/>
      <c r="EC268" s="642"/>
      <c r="ED268" s="642"/>
      <c r="EE268" s="642"/>
      <c r="EF268" s="642"/>
      <c r="EG268" s="642"/>
      <c r="EH268" s="642"/>
      <c r="EI268" s="642"/>
      <c r="EJ268" s="642"/>
      <c r="EK268" s="642"/>
      <c r="EL268" s="642"/>
      <c r="EM268" s="642"/>
      <c r="EN268" s="642"/>
      <c r="EO268" s="642"/>
      <c r="EP268" s="642"/>
      <c r="EQ268" s="642"/>
      <c r="ER268" s="642"/>
      <c r="ES268" s="642"/>
      <c r="ET268" s="642"/>
      <c r="EU268" s="642"/>
      <c r="EV268" s="642"/>
      <c r="EW268" s="642"/>
      <c r="EX268" s="642"/>
      <c r="EY268" s="642"/>
      <c r="EZ268" s="642"/>
      <c r="FA268" s="642"/>
      <c r="FB268" s="642"/>
      <c r="FC268" s="642"/>
      <c r="FD268" s="642"/>
      <c r="FE268" s="642"/>
      <c r="FF268" s="642"/>
      <c r="FG268" s="642"/>
      <c r="FH268" s="642"/>
      <c r="FI268" s="642"/>
      <c r="FJ268" s="642"/>
      <c r="FK268" s="642"/>
      <c r="FL268" s="642"/>
      <c r="FM268" s="642"/>
      <c r="FN268" s="642"/>
      <c r="FO268" s="642"/>
      <c r="FP268" s="642"/>
      <c r="FQ268" s="642"/>
      <c r="FR268" s="642"/>
      <c r="FS268" s="642"/>
      <c r="FT268" s="642"/>
      <c r="FU268" s="642"/>
      <c r="FV268" s="642"/>
      <c r="FW268" s="642"/>
      <c r="FX268" s="642"/>
      <c r="FY268" s="642"/>
      <c r="FZ268" s="642"/>
      <c r="GA268" s="642"/>
      <c r="GB268" s="642"/>
      <c r="GC268" s="642"/>
      <c r="GD268" s="642"/>
      <c r="GE268" s="642"/>
      <c r="GF268" s="642"/>
      <c r="GG268" s="642"/>
      <c r="GH268" s="642"/>
      <c r="GI268" s="642"/>
      <c r="GJ268" s="642"/>
      <c r="GK268" s="642"/>
      <c r="GL268" s="642"/>
      <c r="GM268" s="642"/>
      <c r="GN268" s="642"/>
      <c r="GO268" s="642"/>
      <c r="GP268" s="642"/>
      <c r="GQ268" s="642"/>
      <c r="GR268" s="642"/>
      <c r="GS268" s="642"/>
      <c r="GT268" s="642"/>
      <c r="GU268" s="642"/>
      <c r="GV268" s="642"/>
      <c r="GW268" s="642"/>
      <c r="GX268" s="642"/>
      <c r="GY268" s="642"/>
      <c r="GZ268" s="642"/>
      <c r="HA268" s="642"/>
      <c r="HB268" s="642"/>
      <c r="HC268" s="642"/>
      <c r="HD268" s="642"/>
      <c r="HE268" s="642"/>
      <c r="HF268" s="642"/>
      <c r="HG268" s="642"/>
      <c r="HH268" s="642"/>
      <c r="HI268" s="642"/>
      <c r="HJ268" s="642"/>
      <c r="HK268" s="642"/>
      <c r="HL268" s="642"/>
      <c r="HM268" s="642"/>
      <c r="HN268" s="642"/>
      <c r="HO268" s="642"/>
      <c r="HP268" s="642"/>
      <c r="HQ268" s="642"/>
      <c r="HR268" s="642"/>
      <c r="HS268" s="642"/>
      <c r="HT268" s="642"/>
      <c r="HU268" s="642"/>
      <c r="HV268" s="642"/>
      <c r="HW268" s="642"/>
      <c r="HX268" s="642"/>
      <c r="HY268" s="642"/>
      <c r="HZ268" s="642"/>
      <c r="IA268" s="642"/>
      <c r="IB268" s="642"/>
      <c r="IC268" s="642"/>
      <c r="ID268" s="642"/>
      <c r="IE268" s="642"/>
      <c r="IF268" s="642"/>
      <c r="IG268" s="642"/>
      <c r="IH268" s="642"/>
      <c r="II268" s="642"/>
      <c r="IJ268" s="642"/>
      <c r="IK268" s="642"/>
      <c r="IL268" s="642"/>
      <c r="IM268" s="642"/>
      <c r="IN268" s="642"/>
      <c r="IO268" s="642"/>
    </row>
    <row r="269" spans="1:249" ht="47.25" x14ac:dyDescent="0.25">
      <c r="A269" s="633" t="s">
        <v>582</v>
      </c>
      <c r="B269" s="267" t="s">
        <v>583</v>
      </c>
      <c r="C269" s="369">
        <v>4</v>
      </c>
      <c r="D269" s="369">
        <v>12</v>
      </c>
      <c r="E269" s="557">
        <v>100</v>
      </c>
      <c r="F269" s="641"/>
      <c r="G269" s="642"/>
      <c r="H269" s="642"/>
      <c r="I269" s="642"/>
      <c r="J269" s="642"/>
      <c r="K269" s="642"/>
      <c r="L269" s="642"/>
      <c r="M269" s="642"/>
      <c r="N269" s="642"/>
      <c r="O269" s="642"/>
      <c r="P269" s="642"/>
      <c r="Q269" s="642"/>
      <c r="R269" s="642"/>
      <c r="S269" s="642"/>
      <c r="T269" s="642"/>
      <c r="U269" s="642"/>
      <c r="V269" s="642"/>
      <c r="W269" s="642"/>
      <c r="X269" s="642"/>
      <c r="Y269" s="642"/>
      <c r="Z269" s="642"/>
      <c r="AA269" s="642"/>
      <c r="AB269" s="642"/>
      <c r="AC269" s="642"/>
      <c r="AD269" s="642"/>
      <c r="AE269" s="642"/>
      <c r="AF269" s="642"/>
      <c r="AG269" s="642"/>
      <c r="AH269" s="642"/>
      <c r="AI269" s="642"/>
      <c r="AJ269" s="642"/>
      <c r="AK269" s="642"/>
      <c r="AL269" s="642"/>
      <c r="AM269" s="642"/>
      <c r="AN269" s="642"/>
      <c r="AO269" s="642"/>
      <c r="AP269" s="642"/>
      <c r="AQ269" s="642"/>
      <c r="AR269" s="642"/>
      <c r="AS269" s="642"/>
      <c r="AT269" s="642"/>
      <c r="AU269" s="642"/>
      <c r="AV269" s="642"/>
      <c r="AW269" s="642"/>
      <c r="AX269" s="642"/>
      <c r="AY269" s="642"/>
      <c r="AZ269" s="642"/>
      <c r="BA269" s="642"/>
      <c r="BB269" s="642"/>
      <c r="BC269" s="642"/>
      <c r="BD269" s="642"/>
      <c r="BE269" s="642"/>
      <c r="BF269" s="642"/>
      <c r="BG269" s="642"/>
      <c r="BH269" s="642"/>
      <c r="BI269" s="642"/>
      <c r="BJ269" s="642"/>
      <c r="BK269" s="642"/>
      <c r="BL269" s="642"/>
      <c r="BM269" s="642"/>
      <c r="BN269" s="642"/>
      <c r="BO269" s="642"/>
      <c r="BP269" s="642"/>
      <c r="BQ269" s="642"/>
      <c r="BR269" s="642"/>
      <c r="BS269" s="642"/>
      <c r="BT269" s="642"/>
      <c r="BU269" s="642"/>
      <c r="BV269" s="642"/>
      <c r="BW269" s="642"/>
      <c r="BX269" s="642"/>
      <c r="BY269" s="642"/>
      <c r="BZ269" s="642"/>
      <c r="CA269" s="642"/>
      <c r="CB269" s="642"/>
      <c r="CC269" s="642"/>
      <c r="CD269" s="642"/>
      <c r="CE269" s="642"/>
      <c r="CF269" s="642"/>
      <c r="CG269" s="642"/>
      <c r="CH269" s="642"/>
      <c r="CI269" s="642"/>
      <c r="CJ269" s="642"/>
      <c r="CK269" s="642"/>
      <c r="CL269" s="642"/>
      <c r="CM269" s="642"/>
      <c r="CN269" s="642"/>
      <c r="CO269" s="642"/>
      <c r="CP269" s="642"/>
      <c r="CQ269" s="642"/>
      <c r="CR269" s="642"/>
      <c r="CS269" s="642"/>
      <c r="CT269" s="642"/>
      <c r="CU269" s="642"/>
      <c r="CV269" s="642"/>
      <c r="CW269" s="642"/>
      <c r="CX269" s="642"/>
      <c r="CY269" s="642"/>
      <c r="CZ269" s="642"/>
      <c r="DA269" s="642"/>
      <c r="DB269" s="642"/>
      <c r="DC269" s="642"/>
      <c r="DD269" s="642"/>
      <c r="DE269" s="642"/>
      <c r="DF269" s="642"/>
      <c r="DG269" s="642"/>
      <c r="DH269" s="642"/>
      <c r="DI269" s="642"/>
      <c r="DJ269" s="642"/>
      <c r="DK269" s="642"/>
      <c r="DL269" s="642"/>
      <c r="DM269" s="642"/>
      <c r="DN269" s="642"/>
      <c r="DO269" s="642"/>
      <c r="DP269" s="642"/>
      <c r="DQ269" s="642"/>
      <c r="DR269" s="642"/>
      <c r="DS269" s="642"/>
      <c r="DT269" s="642"/>
      <c r="DU269" s="642"/>
      <c r="DV269" s="642"/>
      <c r="DW269" s="642"/>
      <c r="DX269" s="642"/>
      <c r="DY269" s="642"/>
      <c r="DZ269" s="642"/>
      <c r="EA269" s="642"/>
      <c r="EB269" s="642"/>
      <c r="EC269" s="642"/>
      <c r="ED269" s="642"/>
      <c r="EE269" s="642"/>
      <c r="EF269" s="642"/>
      <c r="EG269" s="642"/>
      <c r="EH269" s="642"/>
      <c r="EI269" s="642"/>
      <c r="EJ269" s="642"/>
      <c r="EK269" s="642"/>
      <c r="EL269" s="642"/>
      <c r="EM269" s="642"/>
      <c r="EN269" s="642"/>
      <c r="EO269" s="642"/>
      <c r="EP269" s="642"/>
      <c r="EQ269" s="642"/>
      <c r="ER269" s="642"/>
      <c r="ES269" s="642"/>
      <c r="ET269" s="642"/>
      <c r="EU269" s="642"/>
      <c r="EV269" s="642"/>
      <c r="EW269" s="642"/>
      <c r="EX269" s="642"/>
      <c r="EY269" s="642"/>
      <c r="EZ269" s="642"/>
      <c r="FA269" s="642"/>
      <c r="FB269" s="642"/>
      <c r="FC269" s="642"/>
      <c r="FD269" s="642"/>
      <c r="FE269" s="642"/>
      <c r="FF269" s="642"/>
      <c r="FG269" s="642"/>
      <c r="FH269" s="642"/>
      <c r="FI269" s="642"/>
      <c r="FJ269" s="642"/>
      <c r="FK269" s="642"/>
      <c r="FL269" s="642"/>
      <c r="FM269" s="642"/>
      <c r="FN269" s="642"/>
      <c r="FO269" s="642"/>
      <c r="FP269" s="642"/>
      <c r="FQ269" s="642"/>
      <c r="FR269" s="642"/>
      <c r="FS269" s="642"/>
      <c r="FT269" s="642"/>
      <c r="FU269" s="642"/>
      <c r="FV269" s="642"/>
      <c r="FW269" s="642"/>
      <c r="FX269" s="642"/>
      <c r="FY269" s="642"/>
      <c r="FZ269" s="642"/>
      <c r="GA269" s="642"/>
      <c r="GB269" s="642"/>
      <c r="GC269" s="642"/>
      <c r="GD269" s="642"/>
      <c r="GE269" s="642"/>
      <c r="GF269" s="642"/>
      <c r="GG269" s="642"/>
      <c r="GH269" s="642"/>
      <c r="GI269" s="642"/>
      <c r="GJ269" s="642"/>
      <c r="GK269" s="642"/>
      <c r="GL269" s="642"/>
      <c r="GM269" s="642"/>
      <c r="GN269" s="642"/>
      <c r="GO269" s="642"/>
      <c r="GP269" s="642"/>
      <c r="GQ269" s="642"/>
      <c r="GR269" s="642"/>
      <c r="GS269" s="642"/>
      <c r="GT269" s="642"/>
      <c r="GU269" s="642"/>
      <c r="GV269" s="642"/>
      <c r="GW269" s="642"/>
      <c r="GX269" s="642"/>
      <c r="GY269" s="642"/>
      <c r="GZ269" s="642"/>
      <c r="HA269" s="642"/>
      <c r="HB269" s="642"/>
      <c r="HC269" s="642"/>
      <c r="HD269" s="642"/>
      <c r="HE269" s="642"/>
      <c r="HF269" s="642"/>
      <c r="HG269" s="642"/>
      <c r="HH269" s="642"/>
      <c r="HI269" s="642"/>
      <c r="HJ269" s="642"/>
      <c r="HK269" s="642"/>
      <c r="HL269" s="642"/>
      <c r="HM269" s="642"/>
      <c r="HN269" s="642"/>
      <c r="HO269" s="642"/>
      <c r="HP269" s="642"/>
      <c r="HQ269" s="642"/>
      <c r="HR269" s="642"/>
      <c r="HS269" s="642"/>
      <c r="HT269" s="642"/>
      <c r="HU269" s="642"/>
      <c r="HV269" s="642"/>
      <c r="HW269" s="642"/>
      <c r="HX269" s="642"/>
      <c r="HY269" s="642"/>
      <c r="HZ269" s="642"/>
      <c r="IA269" s="642"/>
      <c r="IB269" s="642"/>
      <c r="IC269" s="642"/>
      <c r="ID269" s="642"/>
      <c r="IE269" s="642"/>
      <c r="IF269" s="642"/>
      <c r="IG269" s="642"/>
      <c r="IH269" s="642"/>
      <c r="II269" s="642"/>
      <c r="IJ269" s="642"/>
      <c r="IK269" s="642"/>
      <c r="IL269" s="642"/>
      <c r="IM269" s="642"/>
      <c r="IN269" s="642"/>
      <c r="IO269" s="642"/>
    </row>
    <row r="270" spans="1:249" x14ac:dyDescent="0.25">
      <c r="A270" s="775" t="s">
        <v>584</v>
      </c>
      <c r="B270" s="776"/>
      <c r="C270" s="776"/>
      <c r="D270" s="776"/>
      <c r="E270" s="777"/>
      <c r="F270" s="641"/>
      <c r="G270" s="642"/>
      <c r="H270" s="642"/>
      <c r="I270" s="642"/>
      <c r="J270" s="642"/>
      <c r="K270" s="642"/>
      <c r="L270" s="642"/>
      <c r="M270" s="642"/>
      <c r="N270" s="642"/>
      <c r="O270" s="642"/>
      <c r="P270" s="642"/>
      <c r="Q270" s="642"/>
      <c r="R270" s="642"/>
      <c r="S270" s="642"/>
      <c r="T270" s="642"/>
      <c r="U270" s="642"/>
      <c r="V270" s="642"/>
      <c r="W270" s="642"/>
      <c r="X270" s="642"/>
      <c r="Y270" s="642"/>
      <c r="Z270" s="642"/>
      <c r="AA270" s="642"/>
      <c r="AB270" s="642"/>
      <c r="AC270" s="642"/>
      <c r="AD270" s="642"/>
      <c r="AE270" s="642"/>
      <c r="AF270" s="642"/>
      <c r="AG270" s="642"/>
      <c r="AH270" s="642"/>
      <c r="AI270" s="642"/>
      <c r="AJ270" s="642"/>
      <c r="AK270" s="642"/>
      <c r="AL270" s="642"/>
      <c r="AM270" s="642"/>
      <c r="AN270" s="642"/>
      <c r="AO270" s="642"/>
      <c r="AP270" s="642"/>
      <c r="AQ270" s="642"/>
      <c r="AR270" s="642"/>
      <c r="AS270" s="642"/>
      <c r="AT270" s="642"/>
      <c r="AU270" s="642"/>
      <c r="AV270" s="642"/>
      <c r="AW270" s="642"/>
      <c r="AX270" s="642"/>
      <c r="AY270" s="642"/>
      <c r="AZ270" s="642"/>
      <c r="BA270" s="642"/>
      <c r="BB270" s="642"/>
      <c r="BC270" s="642"/>
      <c r="BD270" s="642"/>
      <c r="BE270" s="642"/>
      <c r="BF270" s="642"/>
      <c r="BG270" s="642"/>
      <c r="BH270" s="642"/>
      <c r="BI270" s="642"/>
      <c r="BJ270" s="642"/>
      <c r="BK270" s="642"/>
      <c r="BL270" s="642"/>
      <c r="BM270" s="642"/>
      <c r="BN270" s="642"/>
      <c r="BO270" s="642"/>
      <c r="BP270" s="642"/>
      <c r="BQ270" s="642"/>
      <c r="BR270" s="642"/>
      <c r="BS270" s="642"/>
      <c r="BT270" s="642"/>
      <c r="BU270" s="642"/>
      <c r="BV270" s="642"/>
      <c r="BW270" s="642"/>
      <c r="BX270" s="642"/>
      <c r="BY270" s="642"/>
      <c r="BZ270" s="642"/>
      <c r="CA270" s="642"/>
      <c r="CB270" s="642"/>
      <c r="CC270" s="642"/>
      <c r="CD270" s="642"/>
      <c r="CE270" s="642"/>
      <c r="CF270" s="642"/>
      <c r="CG270" s="642"/>
      <c r="CH270" s="642"/>
      <c r="CI270" s="642"/>
      <c r="CJ270" s="642"/>
      <c r="CK270" s="642"/>
      <c r="CL270" s="642"/>
      <c r="CM270" s="642"/>
      <c r="CN270" s="642"/>
      <c r="CO270" s="642"/>
      <c r="CP270" s="642"/>
      <c r="CQ270" s="642"/>
      <c r="CR270" s="642"/>
      <c r="CS270" s="642"/>
      <c r="CT270" s="642"/>
      <c r="CU270" s="642"/>
      <c r="CV270" s="642"/>
      <c r="CW270" s="642"/>
      <c r="CX270" s="642"/>
      <c r="CY270" s="642"/>
      <c r="CZ270" s="642"/>
      <c r="DA270" s="642"/>
      <c r="DB270" s="642"/>
      <c r="DC270" s="642"/>
      <c r="DD270" s="642"/>
      <c r="DE270" s="642"/>
      <c r="DF270" s="642"/>
      <c r="DG270" s="642"/>
      <c r="DH270" s="642"/>
      <c r="DI270" s="642"/>
      <c r="DJ270" s="642"/>
      <c r="DK270" s="642"/>
      <c r="DL270" s="642"/>
      <c r="DM270" s="642"/>
      <c r="DN270" s="642"/>
      <c r="DO270" s="642"/>
      <c r="DP270" s="642"/>
      <c r="DQ270" s="642"/>
      <c r="DR270" s="642"/>
      <c r="DS270" s="642"/>
      <c r="DT270" s="642"/>
      <c r="DU270" s="642"/>
      <c r="DV270" s="642"/>
      <c r="DW270" s="642"/>
      <c r="DX270" s="642"/>
      <c r="DY270" s="642"/>
      <c r="DZ270" s="642"/>
      <c r="EA270" s="642"/>
      <c r="EB270" s="642"/>
      <c r="EC270" s="642"/>
      <c r="ED270" s="642"/>
      <c r="EE270" s="642"/>
      <c r="EF270" s="642"/>
      <c r="EG270" s="642"/>
      <c r="EH270" s="642"/>
      <c r="EI270" s="642"/>
      <c r="EJ270" s="642"/>
      <c r="EK270" s="642"/>
      <c r="EL270" s="642"/>
      <c r="EM270" s="642"/>
      <c r="EN270" s="642"/>
      <c r="EO270" s="642"/>
      <c r="EP270" s="642"/>
      <c r="EQ270" s="642"/>
      <c r="ER270" s="642"/>
      <c r="ES270" s="642"/>
      <c r="ET270" s="642"/>
      <c r="EU270" s="642"/>
      <c r="EV270" s="642"/>
      <c r="EW270" s="642"/>
      <c r="EX270" s="642"/>
      <c r="EY270" s="642"/>
      <c r="EZ270" s="642"/>
      <c r="FA270" s="642"/>
      <c r="FB270" s="642"/>
      <c r="FC270" s="642"/>
      <c r="FD270" s="642"/>
      <c r="FE270" s="642"/>
      <c r="FF270" s="642"/>
      <c r="FG270" s="642"/>
      <c r="FH270" s="642"/>
      <c r="FI270" s="642"/>
      <c r="FJ270" s="642"/>
      <c r="FK270" s="642"/>
      <c r="FL270" s="642"/>
      <c r="FM270" s="642"/>
      <c r="FN270" s="642"/>
      <c r="FO270" s="642"/>
      <c r="FP270" s="642"/>
      <c r="FQ270" s="642"/>
      <c r="FR270" s="642"/>
      <c r="FS270" s="642"/>
      <c r="FT270" s="642"/>
      <c r="FU270" s="642"/>
      <c r="FV270" s="642"/>
      <c r="FW270" s="642"/>
      <c r="FX270" s="642"/>
      <c r="FY270" s="642"/>
      <c r="FZ270" s="642"/>
      <c r="GA270" s="642"/>
      <c r="GB270" s="642"/>
      <c r="GC270" s="642"/>
      <c r="GD270" s="642"/>
      <c r="GE270" s="642"/>
      <c r="GF270" s="642"/>
      <c r="GG270" s="642"/>
      <c r="GH270" s="642"/>
      <c r="GI270" s="642"/>
      <c r="GJ270" s="642"/>
      <c r="GK270" s="642"/>
      <c r="GL270" s="642"/>
      <c r="GM270" s="642"/>
      <c r="GN270" s="642"/>
      <c r="GO270" s="642"/>
      <c r="GP270" s="642"/>
      <c r="GQ270" s="642"/>
      <c r="GR270" s="642"/>
      <c r="GS270" s="642"/>
      <c r="GT270" s="642"/>
      <c r="GU270" s="642"/>
      <c r="GV270" s="642"/>
      <c r="GW270" s="642"/>
      <c r="GX270" s="642"/>
      <c r="GY270" s="642"/>
      <c r="GZ270" s="642"/>
      <c r="HA270" s="642"/>
      <c r="HB270" s="642"/>
      <c r="HC270" s="642"/>
      <c r="HD270" s="642"/>
      <c r="HE270" s="642"/>
      <c r="HF270" s="642"/>
      <c r="HG270" s="642"/>
      <c r="HH270" s="642"/>
      <c r="HI270" s="642"/>
      <c r="HJ270" s="642"/>
      <c r="HK270" s="642"/>
      <c r="HL270" s="642"/>
      <c r="HM270" s="642"/>
      <c r="HN270" s="642"/>
      <c r="HO270" s="642"/>
      <c r="HP270" s="642"/>
      <c r="HQ270" s="642"/>
      <c r="HR270" s="642"/>
      <c r="HS270" s="642"/>
      <c r="HT270" s="642"/>
      <c r="HU270" s="642"/>
      <c r="HV270" s="642"/>
      <c r="HW270" s="642"/>
      <c r="HX270" s="642"/>
      <c r="HY270" s="642"/>
      <c r="HZ270" s="642"/>
      <c r="IA270" s="642"/>
      <c r="IB270" s="642"/>
      <c r="IC270" s="642"/>
      <c r="ID270" s="642"/>
      <c r="IE270" s="642"/>
      <c r="IF270" s="642"/>
      <c r="IG270" s="642"/>
      <c r="IH270" s="642"/>
      <c r="II270" s="642"/>
      <c r="IJ270" s="642"/>
      <c r="IK270" s="642"/>
      <c r="IL270" s="642"/>
      <c r="IM270" s="642"/>
      <c r="IN270" s="642"/>
      <c r="IO270" s="642"/>
    </row>
    <row r="271" spans="1:249" ht="18" customHeight="1" x14ac:dyDescent="0.25">
      <c r="A271" s="663" t="s">
        <v>585</v>
      </c>
      <c r="B271" s="584" t="s">
        <v>386</v>
      </c>
      <c r="C271" s="594">
        <v>91</v>
      </c>
      <c r="D271" s="375">
        <v>91</v>
      </c>
      <c r="E271" s="557">
        <f>SUM(D271/C271*100)</f>
        <v>100</v>
      </c>
      <c r="F271" s="641"/>
      <c r="G271" s="642"/>
      <c r="H271" s="642"/>
      <c r="I271" s="642"/>
      <c r="J271" s="642"/>
      <c r="K271" s="642"/>
      <c r="L271" s="642"/>
      <c r="M271" s="642"/>
      <c r="N271" s="642"/>
      <c r="O271" s="642"/>
      <c r="P271" s="642"/>
      <c r="Q271" s="642"/>
      <c r="R271" s="642"/>
      <c r="S271" s="642"/>
      <c r="T271" s="642"/>
      <c r="U271" s="642"/>
      <c r="V271" s="642"/>
      <c r="W271" s="642"/>
      <c r="X271" s="642"/>
      <c r="Y271" s="642"/>
      <c r="Z271" s="642"/>
      <c r="AA271" s="642"/>
      <c r="AB271" s="642"/>
      <c r="AC271" s="642"/>
      <c r="AD271" s="642"/>
      <c r="AE271" s="642"/>
      <c r="AF271" s="642"/>
      <c r="AG271" s="642"/>
      <c r="AH271" s="642"/>
      <c r="AI271" s="642"/>
      <c r="AJ271" s="642"/>
      <c r="AK271" s="642"/>
      <c r="AL271" s="642"/>
      <c r="AM271" s="642"/>
      <c r="AN271" s="642"/>
      <c r="AO271" s="642"/>
      <c r="AP271" s="642"/>
      <c r="AQ271" s="642"/>
      <c r="AR271" s="642"/>
      <c r="AS271" s="642"/>
      <c r="AT271" s="642"/>
      <c r="AU271" s="642"/>
      <c r="AV271" s="642"/>
      <c r="AW271" s="642"/>
      <c r="AX271" s="642"/>
      <c r="AY271" s="642"/>
      <c r="AZ271" s="642"/>
      <c r="BA271" s="642"/>
      <c r="BB271" s="642"/>
      <c r="BC271" s="642"/>
      <c r="BD271" s="642"/>
      <c r="BE271" s="642"/>
      <c r="BF271" s="642"/>
      <c r="BG271" s="642"/>
      <c r="BH271" s="642"/>
      <c r="BI271" s="642"/>
      <c r="BJ271" s="642"/>
      <c r="BK271" s="642"/>
      <c r="BL271" s="642"/>
      <c r="BM271" s="642"/>
      <c r="BN271" s="642"/>
      <c r="BO271" s="642"/>
      <c r="BP271" s="642"/>
      <c r="BQ271" s="642"/>
      <c r="BR271" s="642"/>
      <c r="BS271" s="642"/>
      <c r="BT271" s="642"/>
      <c r="BU271" s="642"/>
      <c r="BV271" s="642"/>
      <c r="BW271" s="642"/>
      <c r="BX271" s="642"/>
      <c r="BY271" s="642"/>
      <c r="BZ271" s="642"/>
      <c r="CA271" s="642"/>
      <c r="CB271" s="642"/>
      <c r="CC271" s="642"/>
      <c r="CD271" s="642"/>
      <c r="CE271" s="642"/>
      <c r="CF271" s="642"/>
      <c r="CG271" s="642"/>
      <c r="CH271" s="642"/>
      <c r="CI271" s="642"/>
      <c r="CJ271" s="642"/>
      <c r="CK271" s="642"/>
      <c r="CL271" s="642"/>
      <c r="CM271" s="642"/>
      <c r="CN271" s="642"/>
      <c r="CO271" s="642"/>
      <c r="CP271" s="642"/>
      <c r="CQ271" s="642"/>
      <c r="CR271" s="642"/>
      <c r="CS271" s="642"/>
      <c r="CT271" s="642"/>
      <c r="CU271" s="642"/>
      <c r="CV271" s="642"/>
      <c r="CW271" s="642"/>
      <c r="CX271" s="642"/>
      <c r="CY271" s="642"/>
      <c r="CZ271" s="642"/>
      <c r="DA271" s="642"/>
      <c r="DB271" s="642"/>
      <c r="DC271" s="642"/>
      <c r="DD271" s="642"/>
      <c r="DE271" s="642"/>
      <c r="DF271" s="642"/>
      <c r="DG271" s="642"/>
      <c r="DH271" s="642"/>
      <c r="DI271" s="642"/>
      <c r="DJ271" s="642"/>
      <c r="DK271" s="642"/>
      <c r="DL271" s="642"/>
      <c r="DM271" s="642"/>
      <c r="DN271" s="642"/>
      <c r="DO271" s="642"/>
      <c r="DP271" s="642"/>
      <c r="DQ271" s="642"/>
      <c r="DR271" s="642"/>
      <c r="DS271" s="642"/>
      <c r="DT271" s="642"/>
      <c r="DU271" s="642"/>
      <c r="DV271" s="642"/>
      <c r="DW271" s="642"/>
      <c r="DX271" s="642"/>
      <c r="DY271" s="642"/>
      <c r="DZ271" s="642"/>
      <c r="EA271" s="642"/>
      <c r="EB271" s="642"/>
      <c r="EC271" s="642"/>
      <c r="ED271" s="642"/>
      <c r="EE271" s="642"/>
      <c r="EF271" s="642"/>
      <c r="EG271" s="642"/>
      <c r="EH271" s="642"/>
      <c r="EI271" s="642"/>
      <c r="EJ271" s="642"/>
      <c r="EK271" s="642"/>
      <c r="EL271" s="642"/>
      <c r="EM271" s="642"/>
      <c r="EN271" s="642"/>
      <c r="EO271" s="642"/>
      <c r="EP271" s="642"/>
      <c r="EQ271" s="642"/>
      <c r="ER271" s="642"/>
      <c r="ES271" s="642"/>
      <c r="ET271" s="642"/>
      <c r="EU271" s="642"/>
      <c r="EV271" s="642"/>
      <c r="EW271" s="642"/>
      <c r="EX271" s="642"/>
      <c r="EY271" s="642"/>
      <c r="EZ271" s="642"/>
      <c r="FA271" s="642"/>
      <c r="FB271" s="642"/>
      <c r="FC271" s="642"/>
      <c r="FD271" s="642"/>
      <c r="FE271" s="642"/>
      <c r="FF271" s="642"/>
      <c r="FG271" s="642"/>
      <c r="FH271" s="642"/>
      <c r="FI271" s="642"/>
      <c r="FJ271" s="642"/>
      <c r="FK271" s="642"/>
      <c r="FL271" s="642"/>
      <c r="FM271" s="642"/>
      <c r="FN271" s="642"/>
      <c r="FO271" s="642"/>
      <c r="FP271" s="642"/>
      <c r="FQ271" s="642"/>
      <c r="FR271" s="642"/>
      <c r="FS271" s="642"/>
      <c r="FT271" s="642"/>
      <c r="FU271" s="642"/>
      <c r="FV271" s="642"/>
      <c r="FW271" s="642"/>
      <c r="FX271" s="642"/>
      <c r="FY271" s="642"/>
      <c r="FZ271" s="642"/>
      <c r="GA271" s="642"/>
      <c r="GB271" s="642"/>
      <c r="GC271" s="642"/>
      <c r="GD271" s="642"/>
      <c r="GE271" s="642"/>
      <c r="GF271" s="642"/>
      <c r="GG271" s="642"/>
      <c r="GH271" s="642"/>
      <c r="GI271" s="642"/>
      <c r="GJ271" s="642"/>
      <c r="GK271" s="642"/>
      <c r="GL271" s="642"/>
      <c r="GM271" s="642"/>
      <c r="GN271" s="642"/>
      <c r="GO271" s="642"/>
      <c r="GP271" s="642"/>
      <c r="GQ271" s="642"/>
      <c r="GR271" s="642"/>
      <c r="GS271" s="642"/>
      <c r="GT271" s="642"/>
      <c r="GU271" s="642"/>
      <c r="GV271" s="642"/>
      <c r="GW271" s="642"/>
      <c r="GX271" s="642"/>
      <c r="GY271" s="642"/>
      <c r="GZ271" s="642"/>
      <c r="HA271" s="642"/>
      <c r="HB271" s="642"/>
      <c r="HC271" s="642"/>
      <c r="HD271" s="642"/>
      <c r="HE271" s="642"/>
      <c r="HF271" s="642"/>
      <c r="HG271" s="642"/>
      <c r="HH271" s="642"/>
      <c r="HI271" s="642"/>
      <c r="HJ271" s="642"/>
      <c r="HK271" s="642"/>
      <c r="HL271" s="642"/>
      <c r="HM271" s="642"/>
      <c r="HN271" s="642"/>
      <c r="HO271" s="642"/>
      <c r="HP271" s="642"/>
      <c r="HQ271" s="642"/>
      <c r="HR271" s="642"/>
      <c r="HS271" s="642"/>
      <c r="HT271" s="642"/>
      <c r="HU271" s="642"/>
      <c r="HV271" s="642"/>
      <c r="HW271" s="642"/>
      <c r="HX271" s="642"/>
      <c r="HY271" s="642"/>
      <c r="HZ271" s="642"/>
      <c r="IA271" s="642"/>
      <c r="IB271" s="642"/>
      <c r="IC271" s="642"/>
      <c r="ID271" s="642"/>
      <c r="IE271" s="642"/>
      <c r="IF271" s="642"/>
      <c r="IG271" s="642"/>
      <c r="IH271" s="642"/>
      <c r="II271" s="642"/>
      <c r="IJ271" s="642"/>
      <c r="IK271" s="642"/>
      <c r="IL271" s="642"/>
      <c r="IM271" s="642"/>
      <c r="IN271" s="642"/>
      <c r="IO271" s="642"/>
    </row>
    <row r="272" spans="1:249" ht="17.25" customHeight="1" x14ac:dyDescent="0.25">
      <c r="A272" s="635" t="s">
        <v>586</v>
      </c>
      <c r="B272" s="636" t="s">
        <v>386</v>
      </c>
      <c r="C272" s="370">
        <v>63.45</v>
      </c>
      <c r="D272" s="371">
        <v>66.7</v>
      </c>
      <c r="E272" s="557">
        <v>100</v>
      </c>
      <c r="F272" s="641"/>
      <c r="G272" s="642"/>
      <c r="H272" s="642"/>
      <c r="I272" s="642"/>
      <c r="J272" s="642"/>
      <c r="K272" s="642"/>
      <c r="L272" s="642"/>
      <c r="M272" s="642"/>
      <c r="N272" s="642"/>
      <c r="O272" s="642"/>
      <c r="P272" s="642"/>
      <c r="Q272" s="642"/>
      <c r="R272" s="642"/>
      <c r="S272" s="642"/>
      <c r="T272" s="642"/>
      <c r="U272" s="642"/>
      <c r="V272" s="642"/>
      <c r="W272" s="642"/>
      <c r="X272" s="642"/>
      <c r="Y272" s="642"/>
      <c r="Z272" s="642"/>
      <c r="AA272" s="642"/>
      <c r="AB272" s="642"/>
      <c r="AC272" s="642"/>
      <c r="AD272" s="642"/>
      <c r="AE272" s="642"/>
      <c r="AF272" s="642"/>
      <c r="AG272" s="642"/>
      <c r="AH272" s="642"/>
      <c r="AI272" s="642"/>
      <c r="AJ272" s="642"/>
      <c r="AK272" s="642"/>
      <c r="AL272" s="642"/>
      <c r="AM272" s="642"/>
      <c r="AN272" s="642"/>
      <c r="AO272" s="642"/>
      <c r="AP272" s="642"/>
      <c r="AQ272" s="642"/>
      <c r="AR272" s="642"/>
      <c r="AS272" s="642"/>
      <c r="AT272" s="642"/>
      <c r="AU272" s="642"/>
      <c r="AV272" s="642"/>
      <c r="AW272" s="642"/>
      <c r="AX272" s="642"/>
      <c r="AY272" s="642"/>
      <c r="AZ272" s="642"/>
      <c r="BA272" s="642"/>
      <c r="BB272" s="642"/>
      <c r="BC272" s="642"/>
      <c r="BD272" s="642"/>
      <c r="BE272" s="642"/>
      <c r="BF272" s="642"/>
      <c r="BG272" s="642"/>
      <c r="BH272" s="642"/>
      <c r="BI272" s="642"/>
      <c r="BJ272" s="642"/>
      <c r="BK272" s="642"/>
      <c r="BL272" s="642"/>
      <c r="BM272" s="642"/>
      <c r="BN272" s="642"/>
      <c r="BO272" s="642"/>
      <c r="BP272" s="642"/>
      <c r="BQ272" s="642"/>
      <c r="BR272" s="642"/>
      <c r="BS272" s="642"/>
      <c r="BT272" s="642"/>
      <c r="BU272" s="642"/>
      <c r="BV272" s="642"/>
      <c r="BW272" s="642"/>
      <c r="BX272" s="642"/>
      <c r="BY272" s="642"/>
      <c r="BZ272" s="642"/>
      <c r="CA272" s="642"/>
      <c r="CB272" s="642"/>
      <c r="CC272" s="642"/>
      <c r="CD272" s="642"/>
      <c r="CE272" s="642"/>
      <c r="CF272" s="642"/>
      <c r="CG272" s="642"/>
      <c r="CH272" s="642"/>
      <c r="CI272" s="642"/>
      <c r="CJ272" s="642"/>
      <c r="CK272" s="642"/>
      <c r="CL272" s="642"/>
      <c r="CM272" s="642"/>
      <c r="CN272" s="642"/>
      <c r="CO272" s="642"/>
      <c r="CP272" s="642"/>
      <c r="CQ272" s="642"/>
      <c r="CR272" s="642"/>
      <c r="CS272" s="642"/>
      <c r="CT272" s="642"/>
      <c r="CU272" s="642"/>
      <c r="CV272" s="642"/>
      <c r="CW272" s="642"/>
      <c r="CX272" s="642"/>
      <c r="CY272" s="642"/>
      <c r="CZ272" s="642"/>
      <c r="DA272" s="642"/>
      <c r="DB272" s="642"/>
      <c r="DC272" s="642"/>
      <c r="DD272" s="642"/>
      <c r="DE272" s="642"/>
      <c r="DF272" s="642"/>
      <c r="DG272" s="642"/>
      <c r="DH272" s="642"/>
      <c r="DI272" s="642"/>
      <c r="DJ272" s="642"/>
      <c r="DK272" s="642"/>
      <c r="DL272" s="642"/>
      <c r="DM272" s="642"/>
      <c r="DN272" s="642"/>
      <c r="DO272" s="642"/>
      <c r="DP272" s="642"/>
      <c r="DQ272" s="642"/>
      <c r="DR272" s="642"/>
      <c r="DS272" s="642"/>
      <c r="DT272" s="642"/>
      <c r="DU272" s="642"/>
      <c r="DV272" s="642"/>
      <c r="DW272" s="642"/>
      <c r="DX272" s="642"/>
      <c r="DY272" s="642"/>
      <c r="DZ272" s="642"/>
      <c r="EA272" s="642"/>
      <c r="EB272" s="642"/>
      <c r="EC272" s="642"/>
      <c r="ED272" s="642"/>
      <c r="EE272" s="642"/>
      <c r="EF272" s="642"/>
      <c r="EG272" s="642"/>
      <c r="EH272" s="642"/>
      <c r="EI272" s="642"/>
      <c r="EJ272" s="642"/>
      <c r="EK272" s="642"/>
      <c r="EL272" s="642"/>
      <c r="EM272" s="642"/>
      <c r="EN272" s="642"/>
      <c r="EO272" s="642"/>
      <c r="EP272" s="642"/>
      <c r="EQ272" s="642"/>
      <c r="ER272" s="642"/>
      <c r="ES272" s="642"/>
      <c r="ET272" s="642"/>
      <c r="EU272" s="642"/>
      <c r="EV272" s="642"/>
      <c r="EW272" s="642"/>
      <c r="EX272" s="642"/>
      <c r="EY272" s="642"/>
      <c r="EZ272" s="642"/>
      <c r="FA272" s="642"/>
      <c r="FB272" s="642"/>
      <c r="FC272" s="642"/>
      <c r="FD272" s="642"/>
      <c r="FE272" s="642"/>
      <c r="FF272" s="642"/>
      <c r="FG272" s="642"/>
      <c r="FH272" s="642"/>
      <c r="FI272" s="642"/>
      <c r="FJ272" s="642"/>
      <c r="FK272" s="642"/>
      <c r="FL272" s="642"/>
      <c r="FM272" s="642"/>
      <c r="FN272" s="642"/>
      <c r="FO272" s="642"/>
      <c r="FP272" s="642"/>
      <c r="FQ272" s="642"/>
      <c r="FR272" s="642"/>
      <c r="FS272" s="642"/>
      <c r="FT272" s="642"/>
      <c r="FU272" s="642"/>
      <c r="FV272" s="642"/>
      <c r="FW272" s="642"/>
      <c r="FX272" s="642"/>
      <c r="FY272" s="642"/>
      <c r="FZ272" s="642"/>
      <c r="GA272" s="642"/>
      <c r="GB272" s="642"/>
      <c r="GC272" s="642"/>
      <c r="GD272" s="642"/>
      <c r="GE272" s="642"/>
      <c r="GF272" s="642"/>
      <c r="GG272" s="642"/>
      <c r="GH272" s="642"/>
      <c r="GI272" s="642"/>
      <c r="GJ272" s="642"/>
      <c r="GK272" s="642"/>
      <c r="GL272" s="642"/>
      <c r="GM272" s="642"/>
      <c r="GN272" s="642"/>
      <c r="GO272" s="642"/>
      <c r="GP272" s="642"/>
      <c r="GQ272" s="642"/>
      <c r="GR272" s="642"/>
      <c r="GS272" s="642"/>
      <c r="GT272" s="642"/>
      <c r="GU272" s="642"/>
      <c r="GV272" s="642"/>
      <c r="GW272" s="642"/>
      <c r="GX272" s="642"/>
      <c r="GY272" s="642"/>
      <c r="GZ272" s="642"/>
      <c r="HA272" s="642"/>
      <c r="HB272" s="642"/>
      <c r="HC272" s="642"/>
      <c r="HD272" s="642"/>
      <c r="HE272" s="642"/>
      <c r="HF272" s="642"/>
      <c r="HG272" s="642"/>
      <c r="HH272" s="642"/>
      <c r="HI272" s="642"/>
      <c r="HJ272" s="642"/>
      <c r="HK272" s="642"/>
      <c r="HL272" s="642"/>
      <c r="HM272" s="642"/>
      <c r="HN272" s="642"/>
      <c r="HO272" s="642"/>
      <c r="HP272" s="642"/>
      <c r="HQ272" s="642"/>
      <c r="HR272" s="642"/>
      <c r="HS272" s="642"/>
      <c r="HT272" s="642"/>
      <c r="HU272" s="642"/>
      <c r="HV272" s="642"/>
      <c r="HW272" s="642"/>
      <c r="HX272" s="642"/>
      <c r="HY272" s="642"/>
      <c r="HZ272" s="642"/>
      <c r="IA272" s="642"/>
      <c r="IB272" s="642"/>
      <c r="IC272" s="642"/>
      <c r="ID272" s="642"/>
      <c r="IE272" s="642"/>
      <c r="IF272" s="642"/>
      <c r="IG272" s="642"/>
      <c r="IH272" s="642"/>
      <c r="II272" s="642"/>
      <c r="IJ272" s="642"/>
      <c r="IK272" s="642"/>
      <c r="IL272" s="642"/>
      <c r="IM272" s="642"/>
      <c r="IN272" s="642"/>
      <c r="IO272" s="642"/>
    </row>
    <row r="273" spans="1:249" ht="47.25" x14ac:dyDescent="0.25">
      <c r="A273" s="639" t="s">
        <v>587</v>
      </c>
      <c r="B273" s="638" t="s">
        <v>588</v>
      </c>
      <c r="C273" s="664">
        <v>14.5</v>
      </c>
      <c r="D273" s="664">
        <v>19.5</v>
      </c>
      <c r="E273" s="557">
        <v>100</v>
      </c>
      <c r="F273" s="641"/>
      <c r="G273" s="642"/>
      <c r="H273" s="642"/>
      <c r="I273" s="642"/>
      <c r="J273" s="642"/>
      <c r="K273" s="642"/>
      <c r="L273" s="642"/>
      <c r="M273" s="642"/>
      <c r="N273" s="642"/>
      <c r="O273" s="642"/>
      <c r="P273" s="642"/>
      <c r="Q273" s="642"/>
      <c r="R273" s="642"/>
      <c r="S273" s="642"/>
      <c r="T273" s="642"/>
      <c r="U273" s="642"/>
      <c r="V273" s="642"/>
      <c r="W273" s="642"/>
      <c r="X273" s="642"/>
      <c r="Y273" s="642"/>
      <c r="Z273" s="642"/>
      <c r="AA273" s="642"/>
      <c r="AB273" s="642"/>
      <c r="AC273" s="642"/>
      <c r="AD273" s="642"/>
      <c r="AE273" s="642"/>
      <c r="AF273" s="642"/>
      <c r="AG273" s="642"/>
      <c r="AH273" s="642"/>
      <c r="AI273" s="642"/>
      <c r="AJ273" s="642"/>
      <c r="AK273" s="642"/>
      <c r="AL273" s="642"/>
      <c r="AM273" s="642"/>
      <c r="AN273" s="642"/>
      <c r="AO273" s="642"/>
      <c r="AP273" s="642"/>
      <c r="AQ273" s="642"/>
      <c r="AR273" s="642"/>
      <c r="AS273" s="642"/>
      <c r="AT273" s="642"/>
      <c r="AU273" s="642"/>
      <c r="AV273" s="642"/>
      <c r="AW273" s="642"/>
      <c r="AX273" s="642"/>
      <c r="AY273" s="642"/>
      <c r="AZ273" s="642"/>
      <c r="BA273" s="642"/>
      <c r="BB273" s="642"/>
      <c r="BC273" s="642"/>
      <c r="BD273" s="642"/>
      <c r="BE273" s="642"/>
      <c r="BF273" s="642"/>
      <c r="BG273" s="642"/>
      <c r="BH273" s="642"/>
      <c r="BI273" s="642"/>
      <c r="BJ273" s="642"/>
      <c r="BK273" s="642"/>
      <c r="BL273" s="642"/>
      <c r="BM273" s="642"/>
      <c r="BN273" s="642"/>
      <c r="BO273" s="642"/>
      <c r="BP273" s="642"/>
      <c r="BQ273" s="642"/>
      <c r="BR273" s="642"/>
      <c r="BS273" s="642"/>
      <c r="BT273" s="642"/>
      <c r="BU273" s="642"/>
      <c r="BV273" s="642"/>
      <c r="BW273" s="642"/>
      <c r="BX273" s="642"/>
      <c r="BY273" s="642"/>
      <c r="BZ273" s="642"/>
      <c r="CA273" s="642"/>
      <c r="CB273" s="642"/>
      <c r="CC273" s="642"/>
      <c r="CD273" s="642"/>
      <c r="CE273" s="642"/>
      <c r="CF273" s="642"/>
      <c r="CG273" s="642"/>
      <c r="CH273" s="642"/>
      <c r="CI273" s="642"/>
      <c r="CJ273" s="642"/>
      <c r="CK273" s="642"/>
      <c r="CL273" s="642"/>
      <c r="CM273" s="642"/>
      <c r="CN273" s="642"/>
      <c r="CO273" s="642"/>
      <c r="CP273" s="642"/>
      <c r="CQ273" s="642"/>
      <c r="CR273" s="642"/>
      <c r="CS273" s="642"/>
      <c r="CT273" s="642"/>
      <c r="CU273" s="642"/>
      <c r="CV273" s="642"/>
      <c r="CW273" s="642"/>
      <c r="CX273" s="642"/>
      <c r="CY273" s="642"/>
      <c r="CZ273" s="642"/>
      <c r="DA273" s="642"/>
      <c r="DB273" s="642"/>
      <c r="DC273" s="642"/>
      <c r="DD273" s="642"/>
      <c r="DE273" s="642"/>
      <c r="DF273" s="642"/>
      <c r="DG273" s="642"/>
      <c r="DH273" s="642"/>
      <c r="DI273" s="642"/>
      <c r="DJ273" s="642"/>
      <c r="DK273" s="642"/>
      <c r="DL273" s="642"/>
      <c r="DM273" s="642"/>
      <c r="DN273" s="642"/>
      <c r="DO273" s="642"/>
      <c r="DP273" s="642"/>
      <c r="DQ273" s="642"/>
      <c r="DR273" s="642"/>
      <c r="DS273" s="642"/>
      <c r="DT273" s="642"/>
      <c r="DU273" s="642"/>
      <c r="DV273" s="642"/>
      <c r="DW273" s="642"/>
      <c r="DX273" s="642"/>
      <c r="DY273" s="642"/>
      <c r="DZ273" s="642"/>
      <c r="EA273" s="642"/>
      <c r="EB273" s="642"/>
      <c r="EC273" s="642"/>
      <c r="ED273" s="642"/>
      <c r="EE273" s="642"/>
      <c r="EF273" s="642"/>
      <c r="EG273" s="642"/>
      <c r="EH273" s="642"/>
      <c r="EI273" s="642"/>
      <c r="EJ273" s="642"/>
      <c r="EK273" s="642"/>
      <c r="EL273" s="642"/>
      <c r="EM273" s="642"/>
      <c r="EN273" s="642"/>
      <c r="EO273" s="642"/>
      <c r="EP273" s="642"/>
      <c r="EQ273" s="642"/>
      <c r="ER273" s="642"/>
      <c r="ES273" s="642"/>
      <c r="ET273" s="642"/>
      <c r="EU273" s="642"/>
      <c r="EV273" s="642"/>
      <c r="EW273" s="642"/>
      <c r="EX273" s="642"/>
      <c r="EY273" s="642"/>
      <c r="EZ273" s="642"/>
      <c r="FA273" s="642"/>
      <c r="FB273" s="642"/>
      <c r="FC273" s="642"/>
      <c r="FD273" s="642"/>
      <c r="FE273" s="642"/>
      <c r="FF273" s="642"/>
      <c r="FG273" s="642"/>
      <c r="FH273" s="642"/>
      <c r="FI273" s="642"/>
      <c r="FJ273" s="642"/>
      <c r="FK273" s="642"/>
      <c r="FL273" s="642"/>
      <c r="FM273" s="642"/>
      <c r="FN273" s="642"/>
      <c r="FO273" s="642"/>
      <c r="FP273" s="642"/>
      <c r="FQ273" s="642"/>
      <c r="FR273" s="642"/>
      <c r="FS273" s="642"/>
      <c r="FT273" s="642"/>
      <c r="FU273" s="642"/>
      <c r="FV273" s="642"/>
      <c r="FW273" s="642"/>
      <c r="FX273" s="642"/>
      <c r="FY273" s="642"/>
      <c r="FZ273" s="642"/>
      <c r="GA273" s="642"/>
      <c r="GB273" s="642"/>
      <c r="GC273" s="642"/>
      <c r="GD273" s="642"/>
      <c r="GE273" s="642"/>
      <c r="GF273" s="642"/>
      <c r="GG273" s="642"/>
      <c r="GH273" s="642"/>
      <c r="GI273" s="642"/>
      <c r="GJ273" s="642"/>
      <c r="GK273" s="642"/>
      <c r="GL273" s="642"/>
      <c r="GM273" s="642"/>
      <c r="GN273" s="642"/>
      <c r="GO273" s="642"/>
      <c r="GP273" s="642"/>
      <c r="GQ273" s="642"/>
      <c r="GR273" s="642"/>
      <c r="GS273" s="642"/>
      <c r="GT273" s="642"/>
      <c r="GU273" s="642"/>
      <c r="GV273" s="642"/>
      <c r="GW273" s="642"/>
      <c r="GX273" s="642"/>
      <c r="GY273" s="642"/>
      <c r="GZ273" s="642"/>
      <c r="HA273" s="642"/>
      <c r="HB273" s="642"/>
      <c r="HC273" s="642"/>
      <c r="HD273" s="642"/>
      <c r="HE273" s="642"/>
      <c r="HF273" s="642"/>
      <c r="HG273" s="642"/>
      <c r="HH273" s="642"/>
      <c r="HI273" s="642"/>
      <c r="HJ273" s="642"/>
      <c r="HK273" s="642"/>
      <c r="HL273" s="642"/>
      <c r="HM273" s="642"/>
      <c r="HN273" s="642"/>
      <c r="HO273" s="642"/>
      <c r="HP273" s="642"/>
      <c r="HQ273" s="642"/>
      <c r="HR273" s="642"/>
      <c r="HS273" s="642"/>
      <c r="HT273" s="642"/>
      <c r="HU273" s="642"/>
      <c r="HV273" s="642"/>
      <c r="HW273" s="642"/>
      <c r="HX273" s="642"/>
      <c r="HY273" s="642"/>
      <c r="HZ273" s="642"/>
      <c r="IA273" s="642"/>
      <c r="IB273" s="642"/>
      <c r="IC273" s="642"/>
      <c r="ID273" s="642"/>
      <c r="IE273" s="642"/>
      <c r="IF273" s="642"/>
      <c r="IG273" s="642"/>
      <c r="IH273" s="642"/>
      <c r="II273" s="642"/>
      <c r="IJ273" s="642"/>
      <c r="IK273" s="642"/>
      <c r="IL273" s="642"/>
      <c r="IM273" s="642"/>
      <c r="IN273" s="642"/>
      <c r="IO273" s="642"/>
    </row>
    <row r="274" spans="1:249" ht="17.25" customHeight="1" x14ac:dyDescent="0.25">
      <c r="A274" s="663" t="s">
        <v>589</v>
      </c>
      <c r="B274" s="584" t="s">
        <v>386</v>
      </c>
      <c r="C274" s="372">
        <v>3.5</v>
      </c>
      <c r="D274" s="244">
        <v>4.4800000000000004</v>
      </c>
      <c r="E274" s="557">
        <v>100</v>
      </c>
      <c r="F274" s="641"/>
      <c r="G274" s="642"/>
      <c r="H274" s="642"/>
      <c r="I274" s="642"/>
      <c r="J274" s="642"/>
      <c r="K274" s="642"/>
      <c r="L274" s="642"/>
      <c r="M274" s="642"/>
      <c r="N274" s="642"/>
      <c r="O274" s="642"/>
      <c r="P274" s="642"/>
      <c r="Q274" s="642"/>
      <c r="R274" s="642"/>
      <c r="S274" s="642"/>
      <c r="T274" s="642"/>
      <c r="U274" s="642"/>
      <c r="V274" s="642"/>
      <c r="W274" s="642"/>
      <c r="X274" s="642"/>
      <c r="Y274" s="642"/>
      <c r="Z274" s="642"/>
      <c r="AA274" s="642"/>
      <c r="AB274" s="642"/>
      <c r="AC274" s="642"/>
      <c r="AD274" s="642"/>
      <c r="AE274" s="642"/>
      <c r="AF274" s="642"/>
      <c r="AG274" s="642"/>
      <c r="AH274" s="642"/>
      <c r="AI274" s="642"/>
      <c r="AJ274" s="642"/>
      <c r="AK274" s="642"/>
      <c r="AL274" s="642"/>
      <c r="AM274" s="642"/>
      <c r="AN274" s="642"/>
      <c r="AO274" s="642"/>
      <c r="AP274" s="642"/>
      <c r="AQ274" s="642"/>
      <c r="AR274" s="642"/>
      <c r="AS274" s="642"/>
      <c r="AT274" s="642"/>
      <c r="AU274" s="642"/>
      <c r="AV274" s="642"/>
      <c r="AW274" s="642"/>
      <c r="AX274" s="642"/>
      <c r="AY274" s="642"/>
      <c r="AZ274" s="642"/>
      <c r="BA274" s="642"/>
      <c r="BB274" s="642"/>
      <c r="BC274" s="642"/>
      <c r="BD274" s="642"/>
      <c r="BE274" s="642"/>
      <c r="BF274" s="642"/>
      <c r="BG274" s="642"/>
      <c r="BH274" s="642"/>
      <c r="BI274" s="642"/>
      <c r="BJ274" s="642"/>
      <c r="BK274" s="642"/>
      <c r="BL274" s="642"/>
      <c r="BM274" s="642"/>
      <c r="BN274" s="642"/>
      <c r="BO274" s="642"/>
      <c r="BP274" s="642"/>
      <c r="BQ274" s="642"/>
      <c r="BR274" s="642"/>
      <c r="BS274" s="642"/>
      <c r="BT274" s="642"/>
      <c r="BU274" s="642"/>
      <c r="BV274" s="642"/>
      <c r="BW274" s="642"/>
      <c r="BX274" s="642"/>
      <c r="BY274" s="642"/>
      <c r="BZ274" s="642"/>
      <c r="CA274" s="642"/>
      <c r="CB274" s="642"/>
      <c r="CC274" s="642"/>
      <c r="CD274" s="642"/>
      <c r="CE274" s="642"/>
      <c r="CF274" s="642"/>
      <c r="CG274" s="642"/>
      <c r="CH274" s="642"/>
      <c r="CI274" s="642"/>
      <c r="CJ274" s="642"/>
      <c r="CK274" s="642"/>
      <c r="CL274" s="642"/>
      <c r="CM274" s="642"/>
      <c r="CN274" s="642"/>
      <c r="CO274" s="642"/>
      <c r="CP274" s="642"/>
      <c r="CQ274" s="642"/>
      <c r="CR274" s="642"/>
      <c r="CS274" s="642"/>
      <c r="CT274" s="642"/>
      <c r="CU274" s="642"/>
      <c r="CV274" s="642"/>
      <c r="CW274" s="642"/>
      <c r="CX274" s="642"/>
      <c r="CY274" s="642"/>
      <c r="CZ274" s="642"/>
      <c r="DA274" s="642"/>
      <c r="DB274" s="642"/>
      <c r="DC274" s="642"/>
      <c r="DD274" s="642"/>
      <c r="DE274" s="642"/>
      <c r="DF274" s="642"/>
      <c r="DG274" s="642"/>
      <c r="DH274" s="642"/>
      <c r="DI274" s="642"/>
      <c r="DJ274" s="642"/>
      <c r="DK274" s="642"/>
      <c r="DL274" s="642"/>
      <c r="DM274" s="642"/>
      <c r="DN274" s="642"/>
      <c r="DO274" s="642"/>
      <c r="DP274" s="642"/>
      <c r="DQ274" s="642"/>
      <c r="DR274" s="642"/>
      <c r="DS274" s="642"/>
      <c r="DT274" s="642"/>
      <c r="DU274" s="642"/>
      <c r="DV274" s="642"/>
      <c r="DW274" s="642"/>
      <c r="DX274" s="642"/>
      <c r="DY274" s="642"/>
      <c r="DZ274" s="642"/>
      <c r="EA274" s="642"/>
      <c r="EB274" s="642"/>
      <c r="EC274" s="642"/>
      <c r="ED274" s="642"/>
      <c r="EE274" s="642"/>
      <c r="EF274" s="642"/>
      <c r="EG274" s="642"/>
      <c r="EH274" s="642"/>
      <c r="EI274" s="642"/>
      <c r="EJ274" s="642"/>
      <c r="EK274" s="642"/>
      <c r="EL274" s="642"/>
      <c r="EM274" s="642"/>
      <c r="EN274" s="642"/>
      <c r="EO274" s="642"/>
      <c r="EP274" s="642"/>
      <c r="EQ274" s="642"/>
      <c r="ER274" s="642"/>
      <c r="ES274" s="642"/>
      <c r="ET274" s="642"/>
      <c r="EU274" s="642"/>
      <c r="EV274" s="642"/>
      <c r="EW274" s="642"/>
      <c r="EX274" s="642"/>
      <c r="EY274" s="642"/>
      <c r="EZ274" s="642"/>
      <c r="FA274" s="642"/>
      <c r="FB274" s="642"/>
      <c r="FC274" s="642"/>
      <c r="FD274" s="642"/>
      <c r="FE274" s="642"/>
      <c r="FF274" s="642"/>
      <c r="FG274" s="642"/>
      <c r="FH274" s="642"/>
      <c r="FI274" s="642"/>
      <c r="FJ274" s="642"/>
      <c r="FK274" s="642"/>
      <c r="FL274" s="642"/>
      <c r="FM274" s="642"/>
      <c r="FN274" s="642"/>
      <c r="FO274" s="642"/>
      <c r="FP274" s="642"/>
      <c r="FQ274" s="642"/>
      <c r="FR274" s="642"/>
      <c r="FS274" s="642"/>
      <c r="FT274" s="642"/>
      <c r="FU274" s="642"/>
      <c r="FV274" s="642"/>
      <c r="FW274" s="642"/>
      <c r="FX274" s="642"/>
      <c r="FY274" s="642"/>
      <c r="FZ274" s="642"/>
      <c r="GA274" s="642"/>
      <c r="GB274" s="642"/>
      <c r="GC274" s="642"/>
      <c r="GD274" s="642"/>
      <c r="GE274" s="642"/>
      <c r="GF274" s="642"/>
      <c r="GG274" s="642"/>
      <c r="GH274" s="642"/>
      <c r="GI274" s="642"/>
      <c r="GJ274" s="642"/>
      <c r="GK274" s="642"/>
      <c r="GL274" s="642"/>
      <c r="GM274" s="642"/>
      <c r="GN274" s="642"/>
      <c r="GO274" s="642"/>
      <c r="GP274" s="642"/>
      <c r="GQ274" s="642"/>
      <c r="GR274" s="642"/>
      <c r="GS274" s="642"/>
      <c r="GT274" s="642"/>
      <c r="GU274" s="642"/>
      <c r="GV274" s="642"/>
      <c r="GW274" s="642"/>
      <c r="GX274" s="642"/>
      <c r="GY274" s="642"/>
      <c r="GZ274" s="642"/>
      <c r="HA274" s="642"/>
      <c r="HB274" s="642"/>
      <c r="HC274" s="642"/>
      <c r="HD274" s="642"/>
      <c r="HE274" s="642"/>
      <c r="HF274" s="642"/>
      <c r="HG274" s="642"/>
      <c r="HH274" s="642"/>
      <c r="HI274" s="642"/>
      <c r="HJ274" s="642"/>
      <c r="HK274" s="642"/>
      <c r="HL274" s="642"/>
      <c r="HM274" s="642"/>
      <c r="HN274" s="642"/>
      <c r="HO274" s="642"/>
      <c r="HP274" s="642"/>
      <c r="HQ274" s="642"/>
      <c r="HR274" s="642"/>
      <c r="HS274" s="642"/>
      <c r="HT274" s="642"/>
      <c r="HU274" s="642"/>
      <c r="HV274" s="642"/>
      <c r="HW274" s="642"/>
      <c r="HX274" s="642"/>
      <c r="HY274" s="642"/>
      <c r="HZ274" s="642"/>
      <c r="IA274" s="642"/>
      <c r="IB274" s="642"/>
      <c r="IC274" s="642"/>
      <c r="ID274" s="642"/>
      <c r="IE274" s="642"/>
      <c r="IF274" s="642"/>
      <c r="IG274" s="642"/>
      <c r="IH274" s="642"/>
      <c r="II274" s="642"/>
      <c r="IJ274" s="642"/>
      <c r="IK274" s="642"/>
      <c r="IL274" s="642"/>
      <c r="IM274" s="642"/>
      <c r="IN274" s="642"/>
      <c r="IO274" s="642"/>
    </row>
    <row r="275" spans="1:249" ht="19.5" customHeight="1" x14ac:dyDescent="0.25">
      <c r="A275" s="663" t="s">
        <v>590</v>
      </c>
      <c r="B275" s="463" t="s">
        <v>395</v>
      </c>
      <c r="C275" s="124">
        <v>10</v>
      </c>
      <c r="D275" s="244">
        <v>9.57</v>
      </c>
      <c r="E275" s="557">
        <v>100</v>
      </c>
      <c r="F275" s="641"/>
      <c r="G275" s="642"/>
      <c r="H275" s="642"/>
      <c r="I275" s="642"/>
      <c r="J275" s="642"/>
      <c r="K275" s="642"/>
      <c r="L275" s="642"/>
      <c r="M275" s="642"/>
      <c r="N275" s="642"/>
      <c r="O275" s="642"/>
      <c r="P275" s="642"/>
      <c r="Q275" s="642"/>
      <c r="R275" s="642"/>
      <c r="S275" s="642"/>
      <c r="T275" s="642"/>
      <c r="U275" s="642"/>
      <c r="V275" s="642"/>
      <c r="W275" s="642"/>
      <c r="X275" s="642"/>
      <c r="Y275" s="642"/>
      <c r="Z275" s="642"/>
      <c r="AA275" s="642"/>
      <c r="AB275" s="642"/>
      <c r="AC275" s="642"/>
      <c r="AD275" s="642"/>
      <c r="AE275" s="642"/>
      <c r="AF275" s="642"/>
      <c r="AG275" s="642"/>
      <c r="AH275" s="642"/>
      <c r="AI275" s="642"/>
      <c r="AJ275" s="642"/>
      <c r="AK275" s="642"/>
      <c r="AL275" s="642"/>
      <c r="AM275" s="642"/>
      <c r="AN275" s="642"/>
      <c r="AO275" s="642"/>
      <c r="AP275" s="642"/>
      <c r="AQ275" s="642"/>
      <c r="AR275" s="642"/>
      <c r="AS275" s="642"/>
      <c r="AT275" s="642"/>
      <c r="AU275" s="642"/>
      <c r="AV275" s="642"/>
      <c r="AW275" s="642"/>
      <c r="AX275" s="642"/>
      <c r="AY275" s="642"/>
      <c r="AZ275" s="642"/>
      <c r="BA275" s="642"/>
      <c r="BB275" s="642"/>
      <c r="BC275" s="642"/>
      <c r="BD275" s="642"/>
      <c r="BE275" s="642"/>
      <c r="BF275" s="642"/>
      <c r="BG275" s="642"/>
      <c r="BH275" s="642"/>
      <c r="BI275" s="642"/>
      <c r="BJ275" s="642"/>
      <c r="BK275" s="642"/>
      <c r="BL275" s="642"/>
      <c r="BM275" s="642"/>
      <c r="BN275" s="642"/>
      <c r="BO275" s="642"/>
      <c r="BP275" s="642"/>
      <c r="BQ275" s="642"/>
      <c r="BR275" s="642"/>
      <c r="BS275" s="642"/>
      <c r="BT275" s="642"/>
      <c r="BU275" s="642"/>
      <c r="BV275" s="642"/>
      <c r="BW275" s="642"/>
      <c r="BX275" s="642"/>
      <c r="BY275" s="642"/>
      <c r="BZ275" s="642"/>
      <c r="CA275" s="642"/>
      <c r="CB275" s="642"/>
      <c r="CC275" s="642"/>
      <c r="CD275" s="642"/>
      <c r="CE275" s="642"/>
      <c r="CF275" s="642"/>
      <c r="CG275" s="642"/>
      <c r="CH275" s="642"/>
      <c r="CI275" s="642"/>
      <c r="CJ275" s="642"/>
      <c r="CK275" s="642"/>
      <c r="CL275" s="642"/>
      <c r="CM275" s="642"/>
      <c r="CN275" s="642"/>
      <c r="CO275" s="642"/>
      <c r="CP275" s="642"/>
      <c r="CQ275" s="642"/>
      <c r="CR275" s="642"/>
      <c r="CS275" s="642"/>
      <c r="CT275" s="642"/>
      <c r="CU275" s="642"/>
      <c r="CV275" s="642"/>
      <c r="CW275" s="642"/>
      <c r="CX275" s="642"/>
      <c r="CY275" s="642"/>
      <c r="CZ275" s="642"/>
      <c r="DA275" s="642"/>
      <c r="DB275" s="642"/>
      <c r="DC275" s="642"/>
      <c r="DD275" s="642"/>
      <c r="DE275" s="642"/>
      <c r="DF275" s="642"/>
      <c r="DG275" s="642"/>
      <c r="DH275" s="642"/>
      <c r="DI275" s="642"/>
      <c r="DJ275" s="642"/>
      <c r="DK275" s="642"/>
      <c r="DL275" s="642"/>
      <c r="DM275" s="642"/>
      <c r="DN275" s="642"/>
      <c r="DO275" s="642"/>
      <c r="DP275" s="642"/>
      <c r="DQ275" s="642"/>
      <c r="DR275" s="642"/>
      <c r="DS275" s="642"/>
      <c r="DT275" s="642"/>
      <c r="DU275" s="642"/>
      <c r="DV275" s="642"/>
      <c r="DW275" s="642"/>
      <c r="DX275" s="642"/>
      <c r="DY275" s="642"/>
      <c r="DZ275" s="642"/>
      <c r="EA275" s="642"/>
      <c r="EB275" s="642"/>
      <c r="EC275" s="642"/>
      <c r="ED275" s="642"/>
      <c r="EE275" s="642"/>
      <c r="EF275" s="642"/>
      <c r="EG275" s="642"/>
      <c r="EH275" s="642"/>
      <c r="EI275" s="642"/>
      <c r="EJ275" s="642"/>
      <c r="EK275" s="642"/>
      <c r="EL275" s="642"/>
      <c r="EM275" s="642"/>
      <c r="EN275" s="642"/>
      <c r="EO275" s="642"/>
      <c r="EP275" s="642"/>
      <c r="EQ275" s="642"/>
      <c r="ER275" s="642"/>
      <c r="ES275" s="642"/>
      <c r="ET275" s="642"/>
      <c r="EU275" s="642"/>
      <c r="EV275" s="642"/>
      <c r="EW275" s="642"/>
      <c r="EX275" s="642"/>
      <c r="EY275" s="642"/>
      <c r="EZ275" s="642"/>
      <c r="FA275" s="642"/>
      <c r="FB275" s="642"/>
      <c r="FC275" s="642"/>
      <c r="FD275" s="642"/>
      <c r="FE275" s="642"/>
      <c r="FF275" s="642"/>
      <c r="FG275" s="642"/>
      <c r="FH275" s="642"/>
      <c r="FI275" s="642"/>
      <c r="FJ275" s="642"/>
      <c r="FK275" s="642"/>
      <c r="FL275" s="642"/>
      <c r="FM275" s="642"/>
      <c r="FN275" s="642"/>
      <c r="FO275" s="642"/>
      <c r="FP275" s="642"/>
      <c r="FQ275" s="642"/>
      <c r="FR275" s="642"/>
      <c r="FS275" s="642"/>
      <c r="FT275" s="642"/>
      <c r="FU275" s="642"/>
      <c r="FV275" s="642"/>
      <c r="FW275" s="642"/>
      <c r="FX275" s="642"/>
      <c r="FY275" s="642"/>
      <c r="FZ275" s="642"/>
      <c r="GA275" s="642"/>
      <c r="GB275" s="642"/>
      <c r="GC275" s="642"/>
      <c r="GD275" s="642"/>
      <c r="GE275" s="642"/>
      <c r="GF275" s="642"/>
      <c r="GG275" s="642"/>
      <c r="GH275" s="642"/>
      <c r="GI275" s="642"/>
      <c r="GJ275" s="642"/>
      <c r="GK275" s="642"/>
      <c r="GL275" s="642"/>
      <c r="GM275" s="642"/>
      <c r="GN275" s="642"/>
      <c r="GO275" s="642"/>
      <c r="GP275" s="642"/>
      <c r="GQ275" s="642"/>
      <c r="GR275" s="642"/>
      <c r="GS275" s="642"/>
      <c r="GT275" s="642"/>
      <c r="GU275" s="642"/>
      <c r="GV275" s="642"/>
      <c r="GW275" s="642"/>
      <c r="GX275" s="642"/>
      <c r="GY275" s="642"/>
      <c r="GZ275" s="642"/>
      <c r="HA275" s="642"/>
      <c r="HB275" s="642"/>
      <c r="HC275" s="642"/>
      <c r="HD275" s="642"/>
      <c r="HE275" s="642"/>
      <c r="HF275" s="642"/>
      <c r="HG275" s="642"/>
      <c r="HH275" s="642"/>
      <c r="HI275" s="642"/>
      <c r="HJ275" s="642"/>
      <c r="HK275" s="642"/>
      <c r="HL275" s="642"/>
      <c r="HM275" s="642"/>
      <c r="HN275" s="642"/>
      <c r="HO275" s="642"/>
      <c r="HP275" s="642"/>
      <c r="HQ275" s="642"/>
      <c r="HR275" s="642"/>
      <c r="HS275" s="642"/>
      <c r="HT275" s="642"/>
      <c r="HU275" s="642"/>
      <c r="HV275" s="642"/>
      <c r="HW275" s="642"/>
      <c r="HX275" s="642"/>
      <c r="HY275" s="642"/>
      <c r="HZ275" s="642"/>
      <c r="IA275" s="642"/>
      <c r="IB275" s="642"/>
      <c r="IC275" s="642"/>
      <c r="ID275" s="642"/>
      <c r="IE275" s="642"/>
      <c r="IF275" s="642"/>
      <c r="IG275" s="642"/>
      <c r="IH275" s="642"/>
      <c r="II275" s="642"/>
      <c r="IJ275" s="642"/>
      <c r="IK275" s="642"/>
      <c r="IL275" s="642"/>
      <c r="IM275" s="642"/>
      <c r="IN275" s="642"/>
      <c r="IO275" s="642"/>
    </row>
    <row r="276" spans="1:249" ht="18.75" customHeight="1" x14ac:dyDescent="0.25">
      <c r="A276" s="663" t="s">
        <v>591</v>
      </c>
      <c r="B276" s="584" t="s">
        <v>592</v>
      </c>
      <c r="C276" s="373">
        <v>1200</v>
      </c>
      <c r="D276" s="374">
        <v>2639</v>
      </c>
      <c r="E276" s="557">
        <v>100</v>
      </c>
      <c r="F276" s="641"/>
      <c r="G276" s="642"/>
      <c r="H276" s="642"/>
      <c r="I276" s="642"/>
      <c r="J276" s="642"/>
      <c r="K276" s="642"/>
      <c r="L276" s="642"/>
      <c r="M276" s="642"/>
      <c r="N276" s="642"/>
      <c r="O276" s="642"/>
      <c r="P276" s="642"/>
      <c r="Q276" s="642"/>
      <c r="R276" s="642"/>
      <c r="S276" s="642"/>
      <c r="T276" s="642"/>
      <c r="U276" s="642"/>
      <c r="V276" s="642"/>
      <c r="W276" s="642"/>
      <c r="X276" s="642"/>
      <c r="Y276" s="642"/>
      <c r="Z276" s="642"/>
      <c r="AA276" s="642"/>
      <c r="AB276" s="642"/>
      <c r="AC276" s="642"/>
      <c r="AD276" s="642"/>
      <c r="AE276" s="642"/>
      <c r="AF276" s="642"/>
      <c r="AG276" s="642"/>
      <c r="AH276" s="642"/>
      <c r="AI276" s="642"/>
      <c r="AJ276" s="642"/>
      <c r="AK276" s="642"/>
      <c r="AL276" s="642"/>
      <c r="AM276" s="642"/>
      <c r="AN276" s="642"/>
      <c r="AO276" s="642"/>
      <c r="AP276" s="642"/>
      <c r="AQ276" s="642"/>
      <c r="AR276" s="642"/>
      <c r="AS276" s="642"/>
      <c r="AT276" s="642"/>
      <c r="AU276" s="642"/>
      <c r="AV276" s="642"/>
      <c r="AW276" s="642"/>
      <c r="AX276" s="642"/>
      <c r="AY276" s="642"/>
      <c r="AZ276" s="642"/>
      <c r="BA276" s="642"/>
      <c r="BB276" s="642"/>
      <c r="BC276" s="642"/>
      <c r="BD276" s="642"/>
      <c r="BE276" s="642"/>
      <c r="BF276" s="642"/>
      <c r="BG276" s="642"/>
      <c r="BH276" s="642"/>
      <c r="BI276" s="642"/>
      <c r="BJ276" s="642"/>
      <c r="BK276" s="642"/>
      <c r="BL276" s="642"/>
      <c r="BM276" s="642"/>
      <c r="BN276" s="642"/>
      <c r="BO276" s="642"/>
      <c r="BP276" s="642"/>
      <c r="BQ276" s="642"/>
      <c r="BR276" s="642"/>
      <c r="BS276" s="642"/>
      <c r="BT276" s="642"/>
      <c r="BU276" s="642"/>
      <c r="BV276" s="642"/>
      <c r="BW276" s="642"/>
      <c r="BX276" s="642"/>
      <c r="BY276" s="642"/>
      <c r="BZ276" s="642"/>
      <c r="CA276" s="642"/>
      <c r="CB276" s="642"/>
      <c r="CC276" s="642"/>
      <c r="CD276" s="642"/>
      <c r="CE276" s="642"/>
      <c r="CF276" s="642"/>
      <c r="CG276" s="642"/>
      <c r="CH276" s="642"/>
      <c r="CI276" s="642"/>
      <c r="CJ276" s="642"/>
      <c r="CK276" s="642"/>
      <c r="CL276" s="642"/>
      <c r="CM276" s="642"/>
      <c r="CN276" s="642"/>
      <c r="CO276" s="642"/>
      <c r="CP276" s="642"/>
      <c r="CQ276" s="642"/>
      <c r="CR276" s="642"/>
      <c r="CS276" s="642"/>
      <c r="CT276" s="642"/>
      <c r="CU276" s="642"/>
      <c r="CV276" s="642"/>
      <c r="CW276" s="642"/>
      <c r="CX276" s="642"/>
      <c r="CY276" s="642"/>
      <c r="CZ276" s="642"/>
      <c r="DA276" s="642"/>
      <c r="DB276" s="642"/>
      <c r="DC276" s="642"/>
      <c r="DD276" s="642"/>
      <c r="DE276" s="642"/>
      <c r="DF276" s="642"/>
      <c r="DG276" s="642"/>
      <c r="DH276" s="642"/>
      <c r="DI276" s="642"/>
      <c r="DJ276" s="642"/>
      <c r="DK276" s="642"/>
      <c r="DL276" s="642"/>
      <c r="DM276" s="642"/>
      <c r="DN276" s="642"/>
      <c r="DO276" s="642"/>
      <c r="DP276" s="642"/>
      <c r="DQ276" s="642"/>
      <c r="DR276" s="642"/>
      <c r="DS276" s="642"/>
      <c r="DT276" s="642"/>
      <c r="DU276" s="642"/>
      <c r="DV276" s="642"/>
      <c r="DW276" s="642"/>
      <c r="DX276" s="642"/>
      <c r="DY276" s="642"/>
      <c r="DZ276" s="642"/>
      <c r="EA276" s="642"/>
      <c r="EB276" s="642"/>
      <c r="EC276" s="642"/>
      <c r="ED276" s="642"/>
      <c r="EE276" s="642"/>
      <c r="EF276" s="642"/>
      <c r="EG276" s="642"/>
      <c r="EH276" s="642"/>
      <c r="EI276" s="642"/>
      <c r="EJ276" s="642"/>
      <c r="EK276" s="642"/>
      <c r="EL276" s="642"/>
      <c r="EM276" s="642"/>
      <c r="EN276" s="642"/>
      <c r="EO276" s="642"/>
      <c r="EP276" s="642"/>
      <c r="EQ276" s="642"/>
      <c r="ER276" s="642"/>
      <c r="ES276" s="642"/>
      <c r="ET276" s="642"/>
      <c r="EU276" s="642"/>
      <c r="EV276" s="642"/>
      <c r="EW276" s="642"/>
      <c r="EX276" s="642"/>
      <c r="EY276" s="642"/>
      <c r="EZ276" s="642"/>
      <c r="FA276" s="642"/>
      <c r="FB276" s="642"/>
      <c r="FC276" s="642"/>
      <c r="FD276" s="642"/>
      <c r="FE276" s="642"/>
      <c r="FF276" s="642"/>
      <c r="FG276" s="642"/>
      <c r="FH276" s="642"/>
      <c r="FI276" s="642"/>
      <c r="FJ276" s="642"/>
      <c r="FK276" s="642"/>
      <c r="FL276" s="642"/>
      <c r="FM276" s="642"/>
      <c r="FN276" s="642"/>
      <c r="FO276" s="642"/>
      <c r="FP276" s="642"/>
      <c r="FQ276" s="642"/>
      <c r="FR276" s="642"/>
      <c r="FS276" s="642"/>
      <c r="FT276" s="642"/>
      <c r="FU276" s="642"/>
      <c r="FV276" s="642"/>
      <c r="FW276" s="642"/>
      <c r="FX276" s="642"/>
      <c r="FY276" s="642"/>
      <c r="FZ276" s="642"/>
      <c r="GA276" s="642"/>
      <c r="GB276" s="642"/>
      <c r="GC276" s="642"/>
      <c r="GD276" s="642"/>
      <c r="GE276" s="642"/>
      <c r="GF276" s="642"/>
      <c r="GG276" s="642"/>
      <c r="GH276" s="642"/>
      <c r="GI276" s="642"/>
      <c r="GJ276" s="642"/>
      <c r="GK276" s="642"/>
      <c r="GL276" s="642"/>
      <c r="GM276" s="642"/>
      <c r="GN276" s="642"/>
      <c r="GO276" s="642"/>
      <c r="GP276" s="642"/>
      <c r="GQ276" s="642"/>
      <c r="GR276" s="642"/>
      <c r="GS276" s="642"/>
      <c r="GT276" s="642"/>
      <c r="GU276" s="642"/>
      <c r="GV276" s="642"/>
      <c r="GW276" s="642"/>
      <c r="GX276" s="642"/>
      <c r="GY276" s="642"/>
      <c r="GZ276" s="642"/>
      <c r="HA276" s="642"/>
      <c r="HB276" s="642"/>
      <c r="HC276" s="642"/>
      <c r="HD276" s="642"/>
      <c r="HE276" s="642"/>
      <c r="HF276" s="642"/>
      <c r="HG276" s="642"/>
      <c r="HH276" s="642"/>
      <c r="HI276" s="642"/>
      <c r="HJ276" s="642"/>
      <c r="HK276" s="642"/>
      <c r="HL276" s="642"/>
      <c r="HM276" s="642"/>
      <c r="HN276" s="642"/>
      <c r="HO276" s="642"/>
      <c r="HP276" s="642"/>
      <c r="HQ276" s="642"/>
      <c r="HR276" s="642"/>
      <c r="HS276" s="642"/>
      <c r="HT276" s="642"/>
      <c r="HU276" s="642"/>
      <c r="HV276" s="642"/>
      <c r="HW276" s="642"/>
      <c r="HX276" s="642"/>
      <c r="HY276" s="642"/>
      <c r="HZ276" s="642"/>
      <c r="IA276" s="642"/>
      <c r="IB276" s="642"/>
      <c r="IC276" s="642"/>
      <c r="ID276" s="642"/>
      <c r="IE276" s="642"/>
      <c r="IF276" s="642"/>
      <c r="IG276" s="642"/>
      <c r="IH276" s="642"/>
      <c r="II276" s="642"/>
      <c r="IJ276" s="642"/>
      <c r="IK276" s="642"/>
      <c r="IL276" s="642"/>
      <c r="IM276" s="642"/>
      <c r="IN276" s="642"/>
      <c r="IO276" s="642"/>
    </row>
    <row r="277" spans="1:249" ht="22.5" customHeight="1" x14ac:dyDescent="0.25">
      <c r="A277" s="663" t="s">
        <v>593</v>
      </c>
      <c r="B277" s="584" t="s">
        <v>386</v>
      </c>
      <c r="C277" s="373">
        <v>90</v>
      </c>
      <c r="D277" s="375">
        <v>80</v>
      </c>
      <c r="E277" s="557">
        <f t="shared" ref="E277" si="19">SUM(D277/C277*100)</f>
        <v>88.888888888888886</v>
      </c>
      <c r="F277" s="641"/>
      <c r="G277" s="642"/>
      <c r="H277" s="642"/>
      <c r="I277" s="642"/>
      <c r="J277" s="642"/>
      <c r="K277" s="642"/>
      <c r="L277" s="642"/>
      <c r="M277" s="642"/>
      <c r="N277" s="642"/>
      <c r="O277" s="642"/>
      <c r="P277" s="642"/>
      <c r="Q277" s="642"/>
      <c r="R277" s="642"/>
      <c r="S277" s="642"/>
      <c r="T277" s="642"/>
      <c r="U277" s="642"/>
      <c r="V277" s="642"/>
      <c r="W277" s="642"/>
      <c r="X277" s="642"/>
      <c r="Y277" s="642"/>
      <c r="Z277" s="642"/>
      <c r="AA277" s="642"/>
      <c r="AB277" s="642"/>
      <c r="AC277" s="642"/>
      <c r="AD277" s="642"/>
      <c r="AE277" s="642"/>
      <c r="AF277" s="642"/>
      <c r="AG277" s="642"/>
      <c r="AH277" s="642"/>
      <c r="AI277" s="642"/>
      <c r="AJ277" s="642"/>
      <c r="AK277" s="642"/>
      <c r="AL277" s="642"/>
      <c r="AM277" s="642"/>
      <c r="AN277" s="642"/>
      <c r="AO277" s="642"/>
      <c r="AP277" s="642"/>
      <c r="AQ277" s="642"/>
      <c r="AR277" s="642"/>
      <c r="AS277" s="642"/>
      <c r="AT277" s="642"/>
      <c r="AU277" s="642"/>
      <c r="AV277" s="642"/>
      <c r="AW277" s="642"/>
      <c r="AX277" s="642"/>
      <c r="AY277" s="642"/>
      <c r="AZ277" s="642"/>
      <c r="BA277" s="642"/>
      <c r="BB277" s="642"/>
      <c r="BC277" s="642"/>
      <c r="BD277" s="642"/>
      <c r="BE277" s="642"/>
      <c r="BF277" s="642"/>
      <c r="BG277" s="642"/>
      <c r="BH277" s="642"/>
      <c r="BI277" s="642"/>
      <c r="BJ277" s="642"/>
      <c r="BK277" s="642"/>
      <c r="BL277" s="642"/>
      <c r="BM277" s="642"/>
      <c r="BN277" s="642"/>
      <c r="BO277" s="642"/>
      <c r="BP277" s="642"/>
      <c r="BQ277" s="642"/>
      <c r="BR277" s="642"/>
      <c r="BS277" s="642"/>
      <c r="BT277" s="642"/>
      <c r="BU277" s="642"/>
      <c r="BV277" s="642"/>
      <c r="BW277" s="642"/>
      <c r="BX277" s="642"/>
      <c r="BY277" s="642"/>
      <c r="BZ277" s="642"/>
      <c r="CA277" s="642"/>
      <c r="CB277" s="642"/>
      <c r="CC277" s="642"/>
      <c r="CD277" s="642"/>
      <c r="CE277" s="642"/>
      <c r="CF277" s="642"/>
      <c r="CG277" s="642"/>
      <c r="CH277" s="642"/>
      <c r="CI277" s="642"/>
      <c r="CJ277" s="642"/>
      <c r="CK277" s="642"/>
      <c r="CL277" s="642"/>
      <c r="CM277" s="642"/>
      <c r="CN277" s="642"/>
      <c r="CO277" s="642"/>
      <c r="CP277" s="642"/>
      <c r="CQ277" s="642"/>
      <c r="CR277" s="642"/>
      <c r="CS277" s="642"/>
      <c r="CT277" s="642"/>
      <c r="CU277" s="642"/>
      <c r="CV277" s="642"/>
      <c r="CW277" s="642"/>
      <c r="CX277" s="642"/>
      <c r="CY277" s="642"/>
      <c r="CZ277" s="642"/>
      <c r="DA277" s="642"/>
      <c r="DB277" s="642"/>
      <c r="DC277" s="642"/>
      <c r="DD277" s="642"/>
      <c r="DE277" s="642"/>
      <c r="DF277" s="642"/>
      <c r="DG277" s="642"/>
      <c r="DH277" s="642"/>
      <c r="DI277" s="642"/>
      <c r="DJ277" s="642"/>
      <c r="DK277" s="642"/>
      <c r="DL277" s="642"/>
      <c r="DM277" s="642"/>
      <c r="DN277" s="642"/>
      <c r="DO277" s="642"/>
      <c r="DP277" s="642"/>
      <c r="DQ277" s="642"/>
      <c r="DR277" s="642"/>
      <c r="DS277" s="642"/>
      <c r="DT277" s="642"/>
      <c r="DU277" s="642"/>
      <c r="DV277" s="642"/>
      <c r="DW277" s="642"/>
      <c r="DX277" s="642"/>
      <c r="DY277" s="642"/>
      <c r="DZ277" s="642"/>
      <c r="EA277" s="642"/>
      <c r="EB277" s="642"/>
      <c r="EC277" s="642"/>
      <c r="ED277" s="642"/>
      <c r="EE277" s="642"/>
      <c r="EF277" s="642"/>
      <c r="EG277" s="642"/>
      <c r="EH277" s="642"/>
      <c r="EI277" s="642"/>
      <c r="EJ277" s="642"/>
      <c r="EK277" s="642"/>
      <c r="EL277" s="642"/>
      <c r="EM277" s="642"/>
      <c r="EN277" s="642"/>
      <c r="EO277" s="642"/>
      <c r="EP277" s="642"/>
      <c r="EQ277" s="642"/>
      <c r="ER277" s="642"/>
      <c r="ES277" s="642"/>
      <c r="ET277" s="642"/>
      <c r="EU277" s="642"/>
      <c r="EV277" s="642"/>
      <c r="EW277" s="642"/>
      <c r="EX277" s="642"/>
      <c r="EY277" s="642"/>
      <c r="EZ277" s="642"/>
      <c r="FA277" s="642"/>
      <c r="FB277" s="642"/>
      <c r="FC277" s="642"/>
      <c r="FD277" s="642"/>
      <c r="FE277" s="642"/>
      <c r="FF277" s="642"/>
      <c r="FG277" s="642"/>
      <c r="FH277" s="642"/>
      <c r="FI277" s="642"/>
      <c r="FJ277" s="642"/>
      <c r="FK277" s="642"/>
      <c r="FL277" s="642"/>
      <c r="FM277" s="642"/>
      <c r="FN277" s="642"/>
      <c r="FO277" s="642"/>
      <c r="FP277" s="642"/>
      <c r="FQ277" s="642"/>
      <c r="FR277" s="642"/>
      <c r="FS277" s="642"/>
      <c r="FT277" s="642"/>
      <c r="FU277" s="642"/>
      <c r="FV277" s="642"/>
      <c r="FW277" s="642"/>
      <c r="FX277" s="642"/>
      <c r="FY277" s="642"/>
      <c r="FZ277" s="642"/>
      <c r="GA277" s="642"/>
      <c r="GB277" s="642"/>
      <c r="GC277" s="642"/>
      <c r="GD277" s="642"/>
      <c r="GE277" s="642"/>
      <c r="GF277" s="642"/>
      <c r="GG277" s="642"/>
      <c r="GH277" s="642"/>
      <c r="GI277" s="642"/>
      <c r="GJ277" s="642"/>
      <c r="GK277" s="642"/>
      <c r="GL277" s="642"/>
      <c r="GM277" s="642"/>
      <c r="GN277" s="642"/>
      <c r="GO277" s="642"/>
      <c r="GP277" s="642"/>
      <c r="GQ277" s="642"/>
      <c r="GR277" s="642"/>
      <c r="GS277" s="642"/>
      <c r="GT277" s="642"/>
      <c r="GU277" s="642"/>
      <c r="GV277" s="642"/>
      <c r="GW277" s="642"/>
      <c r="GX277" s="642"/>
      <c r="GY277" s="642"/>
      <c r="GZ277" s="642"/>
      <c r="HA277" s="642"/>
      <c r="HB277" s="642"/>
      <c r="HC277" s="642"/>
      <c r="HD277" s="642"/>
      <c r="HE277" s="642"/>
      <c r="HF277" s="642"/>
      <c r="HG277" s="642"/>
      <c r="HH277" s="642"/>
      <c r="HI277" s="642"/>
      <c r="HJ277" s="642"/>
      <c r="HK277" s="642"/>
      <c r="HL277" s="642"/>
      <c r="HM277" s="642"/>
      <c r="HN277" s="642"/>
      <c r="HO277" s="642"/>
      <c r="HP277" s="642"/>
      <c r="HQ277" s="642"/>
      <c r="HR277" s="642"/>
      <c r="HS277" s="642"/>
      <c r="HT277" s="642"/>
      <c r="HU277" s="642"/>
      <c r="HV277" s="642"/>
      <c r="HW277" s="642"/>
      <c r="HX277" s="642"/>
      <c r="HY277" s="642"/>
      <c r="HZ277" s="642"/>
      <c r="IA277" s="642"/>
      <c r="IB277" s="642"/>
      <c r="IC277" s="642"/>
      <c r="ID277" s="642"/>
      <c r="IE277" s="642"/>
      <c r="IF277" s="642"/>
      <c r="IG277" s="642"/>
      <c r="IH277" s="642"/>
      <c r="II277" s="642"/>
      <c r="IJ277" s="642"/>
      <c r="IK277" s="642"/>
      <c r="IL277" s="642"/>
      <c r="IM277" s="642"/>
      <c r="IN277" s="642"/>
      <c r="IO277" s="642"/>
    </row>
    <row r="278" spans="1:249" x14ac:dyDescent="0.25">
      <c r="A278" s="775" t="s">
        <v>594</v>
      </c>
      <c r="B278" s="776"/>
      <c r="C278" s="776"/>
      <c r="D278" s="776"/>
      <c r="E278" s="777"/>
      <c r="F278" s="641"/>
      <c r="G278" s="642"/>
      <c r="H278" s="642"/>
      <c r="I278" s="642"/>
      <c r="J278" s="642"/>
      <c r="K278" s="642"/>
      <c r="L278" s="642"/>
      <c r="M278" s="642"/>
      <c r="N278" s="642"/>
      <c r="O278" s="642"/>
      <c r="P278" s="642"/>
      <c r="Q278" s="642"/>
      <c r="R278" s="642"/>
      <c r="S278" s="642"/>
      <c r="T278" s="642"/>
      <c r="U278" s="642"/>
      <c r="V278" s="642"/>
      <c r="W278" s="642"/>
      <c r="X278" s="642"/>
      <c r="Y278" s="642"/>
      <c r="Z278" s="642"/>
      <c r="AA278" s="642"/>
      <c r="AB278" s="642"/>
      <c r="AC278" s="642"/>
      <c r="AD278" s="642"/>
      <c r="AE278" s="642"/>
      <c r="AF278" s="642"/>
      <c r="AG278" s="642"/>
      <c r="AH278" s="642"/>
      <c r="AI278" s="642"/>
      <c r="AJ278" s="642"/>
      <c r="AK278" s="642"/>
      <c r="AL278" s="642"/>
      <c r="AM278" s="642"/>
      <c r="AN278" s="642"/>
      <c r="AO278" s="642"/>
      <c r="AP278" s="642"/>
      <c r="AQ278" s="642"/>
      <c r="AR278" s="642"/>
      <c r="AS278" s="642"/>
      <c r="AT278" s="642"/>
      <c r="AU278" s="642"/>
      <c r="AV278" s="642"/>
      <c r="AW278" s="642"/>
      <c r="AX278" s="642"/>
      <c r="AY278" s="642"/>
      <c r="AZ278" s="642"/>
      <c r="BA278" s="642"/>
      <c r="BB278" s="642"/>
      <c r="BC278" s="642"/>
      <c r="BD278" s="642"/>
      <c r="BE278" s="642"/>
      <c r="BF278" s="642"/>
      <c r="BG278" s="642"/>
      <c r="BH278" s="642"/>
      <c r="BI278" s="642"/>
      <c r="BJ278" s="642"/>
      <c r="BK278" s="642"/>
      <c r="BL278" s="642"/>
      <c r="BM278" s="642"/>
      <c r="BN278" s="642"/>
      <c r="BO278" s="642"/>
      <c r="BP278" s="642"/>
      <c r="BQ278" s="642"/>
      <c r="BR278" s="642"/>
      <c r="BS278" s="642"/>
      <c r="BT278" s="642"/>
      <c r="BU278" s="642"/>
      <c r="BV278" s="642"/>
      <c r="BW278" s="642"/>
      <c r="BX278" s="642"/>
      <c r="BY278" s="642"/>
      <c r="BZ278" s="642"/>
      <c r="CA278" s="642"/>
      <c r="CB278" s="642"/>
      <c r="CC278" s="642"/>
      <c r="CD278" s="642"/>
      <c r="CE278" s="642"/>
      <c r="CF278" s="642"/>
      <c r="CG278" s="642"/>
      <c r="CH278" s="642"/>
      <c r="CI278" s="642"/>
      <c r="CJ278" s="642"/>
      <c r="CK278" s="642"/>
      <c r="CL278" s="642"/>
      <c r="CM278" s="642"/>
      <c r="CN278" s="642"/>
      <c r="CO278" s="642"/>
      <c r="CP278" s="642"/>
      <c r="CQ278" s="642"/>
      <c r="CR278" s="642"/>
      <c r="CS278" s="642"/>
      <c r="CT278" s="642"/>
      <c r="CU278" s="642"/>
      <c r="CV278" s="642"/>
      <c r="CW278" s="642"/>
      <c r="CX278" s="642"/>
      <c r="CY278" s="642"/>
      <c r="CZ278" s="642"/>
      <c r="DA278" s="642"/>
      <c r="DB278" s="642"/>
      <c r="DC278" s="642"/>
      <c r="DD278" s="642"/>
      <c r="DE278" s="642"/>
      <c r="DF278" s="642"/>
      <c r="DG278" s="642"/>
      <c r="DH278" s="642"/>
      <c r="DI278" s="642"/>
      <c r="DJ278" s="642"/>
      <c r="DK278" s="642"/>
      <c r="DL278" s="642"/>
      <c r="DM278" s="642"/>
      <c r="DN278" s="642"/>
      <c r="DO278" s="642"/>
      <c r="DP278" s="642"/>
      <c r="DQ278" s="642"/>
      <c r="DR278" s="642"/>
      <c r="DS278" s="642"/>
      <c r="DT278" s="642"/>
      <c r="DU278" s="642"/>
      <c r="DV278" s="642"/>
      <c r="DW278" s="642"/>
      <c r="DX278" s="642"/>
      <c r="DY278" s="642"/>
      <c r="DZ278" s="642"/>
      <c r="EA278" s="642"/>
      <c r="EB278" s="642"/>
      <c r="EC278" s="642"/>
      <c r="ED278" s="642"/>
      <c r="EE278" s="642"/>
      <c r="EF278" s="642"/>
      <c r="EG278" s="642"/>
      <c r="EH278" s="642"/>
      <c r="EI278" s="642"/>
      <c r="EJ278" s="642"/>
      <c r="EK278" s="642"/>
      <c r="EL278" s="642"/>
      <c r="EM278" s="642"/>
      <c r="EN278" s="642"/>
      <c r="EO278" s="642"/>
      <c r="EP278" s="642"/>
      <c r="EQ278" s="642"/>
      <c r="ER278" s="642"/>
      <c r="ES278" s="642"/>
      <c r="ET278" s="642"/>
      <c r="EU278" s="642"/>
      <c r="EV278" s="642"/>
      <c r="EW278" s="642"/>
      <c r="EX278" s="642"/>
      <c r="EY278" s="642"/>
      <c r="EZ278" s="642"/>
      <c r="FA278" s="642"/>
      <c r="FB278" s="642"/>
      <c r="FC278" s="642"/>
      <c r="FD278" s="642"/>
      <c r="FE278" s="642"/>
      <c r="FF278" s="642"/>
      <c r="FG278" s="642"/>
      <c r="FH278" s="642"/>
      <c r="FI278" s="642"/>
      <c r="FJ278" s="642"/>
      <c r="FK278" s="642"/>
      <c r="FL278" s="642"/>
      <c r="FM278" s="642"/>
      <c r="FN278" s="642"/>
      <c r="FO278" s="642"/>
      <c r="FP278" s="642"/>
      <c r="FQ278" s="642"/>
      <c r="FR278" s="642"/>
      <c r="FS278" s="642"/>
      <c r="FT278" s="642"/>
      <c r="FU278" s="642"/>
      <c r="FV278" s="642"/>
      <c r="FW278" s="642"/>
      <c r="FX278" s="642"/>
      <c r="FY278" s="642"/>
      <c r="FZ278" s="642"/>
      <c r="GA278" s="642"/>
      <c r="GB278" s="642"/>
      <c r="GC278" s="642"/>
      <c r="GD278" s="642"/>
      <c r="GE278" s="642"/>
      <c r="GF278" s="642"/>
      <c r="GG278" s="642"/>
      <c r="GH278" s="642"/>
      <c r="GI278" s="642"/>
      <c r="GJ278" s="642"/>
      <c r="GK278" s="642"/>
      <c r="GL278" s="642"/>
      <c r="GM278" s="642"/>
      <c r="GN278" s="642"/>
      <c r="GO278" s="642"/>
      <c r="GP278" s="642"/>
      <c r="GQ278" s="642"/>
      <c r="GR278" s="642"/>
      <c r="GS278" s="642"/>
      <c r="GT278" s="642"/>
      <c r="GU278" s="642"/>
      <c r="GV278" s="642"/>
      <c r="GW278" s="642"/>
      <c r="GX278" s="642"/>
      <c r="GY278" s="642"/>
      <c r="GZ278" s="642"/>
      <c r="HA278" s="642"/>
      <c r="HB278" s="642"/>
      <c r="HC278" s="642"/>
      <c r="HD278" s="642"/>
      <c r="HE278" s="642"/>
      <c r="HF278" s="642"/>
      <c r="HG278" s="642"/>
      <c r="HH278" s="642"/>
      <c r="HI278" s="642"/>
      <c r="HJ278" s="642"/>
      <c r="HK278" s="642"/>
      <c r="HL278" s="642"/>
      <c r="HM278" s="642"/>
      <c r="HN278" s="642"/>
      <c r="HO278" s="642"/>
      <c r="HP278" s="642"/>
      <c r="HQ278" s="642"/>
      <c r="HR278" s="642"/>
      <c r="HS278" s="642"/>
      <c r="HT278" s="642"/>
      <c r="HU278" s="642"/>
      <c r="HV278" s="642"/>
      <c r="HW278" s="642"/>
      <c r="HX278" s="642"/>
      <c r="HY278" s="642"/>
      <c r="HZ278" s="642"/>
      <c r="IA278" s="642"/>
      <c r="IB278" s="642"/>
      <c r="IC278" s="642"/>
      <c r="ID278" s="642"/>
      <c r="IE278" s="642"/>
      <c r="IF278" s="642"/>
      <c r="IG278" s="642"/>
      <c r="IH278" s="642"/>
      <c r="II278" s="642"/>
      <c r="IJ278" s="642"/>
      <c r="IK278" s="642"/>
      <c r="IL278" s="642"/>
      <c r="IM278" s="642"/>
      <c r="IN278" s="642"/>
      <c r="IO278" s="642"/>
    </row>
    <row r="279" spans="1:249" ht="19.5" customHeight="1" x14ac:dyDescent="0.25">
      <c r="A279" s="633" t="s">
        <v>595</v>
      </c>
      <c r="B279" s="584" t="s">
        <v>386</v>
      </c>
      <c r="C279" s="373">
        <v>91</v>
      </c>
      <c r="D279" s="375">
        <v>91</v>
      </c>
      <c r="E279" s="557">
        <f>SUM(D279/C279*100)</f>
        <v>100</v>
      </c>
      <c r="F279" s="641"/>
      <c r="G279" s="642"/>
      <c r="H279" s="642"/>
      <c r="I279" s="642"/>
      <c r="J279" s="642"/>
      <c r="K279" s="642"/>
      <c r="L279" s="642"/>
      <c r="M279" s="642"/>
      <c r="N279" s="642"/>
      <c r="O279" s="642"/>
      <c r="P279" s="642"/>
      <c r="Q279" s="642"/>
      <c r="R279" s="642"/>
      <c r="S279" s="642"/>
      <c r="T279" s="642"/>
      <c r="U279" s="642"/>
      <c r="V279" s="642"/>
      <c r="W279" s="642"/>
      <c r="X279" s="642"/>
      <c r="Y279" s="642"/>
      <c r="Z279" s="642"/>
      <c r="AA279" s="642"/>
      <c r="AB279" s="642"/>
      <c r="AC279" s="642"/>
      <c r="AD279" s="642"/>
      <c r="AE279" s="642"/>
      <c r="AF279" s="642"/>
      <c r="AG279" s="642"/>
      <c r="AH279" s="642"/>
      <c r="AI279" s="642"/>
      <c r="AJ279" s="642"/>
      <c r="AK279" s="642"/>
      <c r="AL279" s="642"/>
      <c r="AM279" s="642"/>
      <c r="AN279" s="642"/>
      <c r="AO279" s="642"/>
      <c r="AP279" s="642"/>
      <c r="AQ279" s="642"/>
      <c r="AR279" s="642"/>
      <c r="AS279" s="642"/>
      <c r="AT279" s="642"/>
      <c r="AU279" s="642"/>
      <c r="AV279" s="642"/>
      <c r="AW279" s="642"/>
      <c r="AX279" s="642"/>
      <c r="AY279" s="642"/>
      <c r="AZ279" s="642"/>
      <c r="BA279" s="642"/>
      <c r="BB279" s="642"/>
      <c r="BC279" s="642"/>
      <c r="BD279" s="642"/>
      <c r="BE279" s="642"/>
      <c r="BF279" s="642"/>
      <c r="BG279" s="642"/>
      <c r="BH279" s="642"/>
      <c r="BI279" s="642"/>
      <c r="BJ279" s="642"/>
      <c r="BK279" s="642"/>
      <c r="BL279" s="642"/>
      <c r="BM279" s="642"/>
      <c r="BN279" s="642"/>
      <c r="BO279" s="642"/>
      <c r="BP279" s="642"/>
      <c r="BQ279" s="642"/>
      <c r="BR279" s="642"/>
      <c r="BS279" s="642"/>
      <c r="BT279" s="642"/>
      <c r="BU279" s="642"/>
      <c r="BV279" s="642"/>
      <c r="BW279" s="642"/>
      <c r="BX279" s="642"/>
      <c r="BY279" s="642"/>
      <c r="BZ279" s="642"/>
      <c r="CA279" s="642"/>
      <c r="CB279" s="642"/>
      <c r="CC279" s="642"/>
      <c r="CD279" s="642"/>
      <c r="CE279" s="642"/>
      <c r="CF279" s="642"/>
      <c r="CG279" s="642"/>
      <c r="CH279" s="642"/>
      <c r="CI279" s="642"/>
      <c r="CJ279" s="642"/>
      <c r="CK279" s="642"/>
      <c r="CL279" s="642"/>
      <c r="CM279" s="642"/>
      <c r="CN279" s="642"/>
      <c r="CO279" s="642"/>
      <c r="CP279" s="642"/>
      <c r="CQ279" s="642"/>
      <c r="CR279" s="642"/>
      <c r="CS279" s="642"/>
      <c r="CT279" s="642"/>
      <c r="CU279" s="642"/>
      <c r="CV279" s="642"/>
      <c r="CW279" s="642"/>
      <c r="CX279" s="642"/>
      <c r="CY279" s="642"/>
      <c r="CZ279" s="642"/>
      <c r="DA279" s="642"/>
      <c r="DB279" s="642"/>
      <c r="DC279" s="642"/>
      <c r="DD279" s="642"/>
      <c r="DE279" s="642"/>
      <c r="DF279" s="642"/>
      <c r="DG279" s="642"/>
      <c r="DH279" s="642"/>
      <c r="DI279" s="642"/>
      <c r="DJ279" s="642"/>
      <c r="DK279" s="642"/>
      <c r="DL279" s="642"/>
      <c r="DM279" s="642"/>
      <c r="DN279" s="642"/>
      <c r="DO279" s="642"/>
      <c r="DP279" s="642"/>
      <c r="DQ279" s="642"/>
      <c r="DR279" s="642"/>
      <c r="DS279" s="642"/>
      <c r="DT279" s="642"/>
      <c r="DU279" s="642"/>
      <c r="DV279" s="642"/>
      <c r="DW279" s="642"/>
      <c r="DX279" s="642"/>
      <c r="DY279" s="642"/>
      <c r="DZ279" s="642"/>
      <c r="EA279" s="642"/>
      <c r="EB279" s="642"/>
      <c r="EC279" s="642"/>
      <c r="ED279" s="642"/>
      <c r="EE279" s="642"/>
      <c r="EF279" s="642"/>
      <c r="EG279" s="642"/>
      <c r="EH279" s="642"/>
      <c r="EI279" s="642"/>
      <c r="EJ279" s="642"/>
      <c r="EK279" s="642"/>
      <c r="EL279" s="642"/>
      <c r="EM279" s="642"/>
      <c r="EN279" s="642"/>
      <c r="EO279" s="642"/>
      <c r="EP279" s="642"/>
      <c r="EQ279" s="642"/>
      <c r="ER279" s="642"/>
      <c r="ES279" s="642"/>
      <c r="ET279" s="642"/>
      <c r="EU279" s="642"/>
      <c r="EV279" s="642"/>
      <c r="EW279" s="642"/>
      <c r="EX279" s="642"/>
      <c r="EY279" s="642"/>
      <c r="EZ279" s="642"/>
      <c r="FA279" s="642"/>
      <c r="FB279" s="642"/>
      <c r="FC279" s="642"/>
      <c r="FD279" s="642"/>
      <c r="FE279" s="642"/>
      <c r="FF279" s="642"/>
      <c r="FG279" s="642"/>
      <c r="FH279" s="642"/>
      <c r="FI279" s="642"/>
      <c r="FJ279" s="642"/>
      <c r="FK279" s="642"/>
      <c r="FL279" s="642"/>
      <c r="FM279" s="642"/>
      <c r="FN279" s="642"/>
      <c r="FO279" s="642"/>
      <c r="FP279" s="642"/>
      <c r="FQ279" s="642"/>
      <c r="FR279" s="642"/>
      <c r="FS279" s="642"/>
      <c r="FT279" s="642"/>
      <c r="FU279" s="642"/>
      <c r="FV279" s="642"/>
      <c r="FW279" s="642"/>
      <c r="FX279" s="642"/>
      <c r="FY279" s="642"/>
      <c r="FZ279" s="642"/>
      <c r="GA279" s="642"/>
      <c r="GB279" s="642"/>
      <c r="GC279" s="642"/>
      <c r="GD279" s="642"/>
      <c r="GE279" s="642"/>
      <c r="GF279" s="642"/>
      <c r="GG279" s="642"/>
      <c r="GH279" s="642"/>
      <c r="GI279" s="642"/>
      <c r="GJ279" s="642"/>
      <c r="GK279" s="642"/>
      <c r="GL279" s="642"/>
      <c r="GM279" s="642"/>
      <c r="GN279" s="642"/>
      <c r="GO279" s="642"/>
      <c r="GP279" s="642"/>
      <c r="GQ279" s="642"/>
      <c r="GR279" s="642"/>
      <c r="GS279" s="642"/>
      <c r="GT279" s="642"/>
      <c r="GU279" s="642"/>
      <c r="GV279" s="642"/>
      <c r="GW279" s="642"/>
      <c r="GX279" s="642"/>
      <c r="GY279" s="642"/>
      <c r="GZ279" s="642"/>
      <c r="HA279" s="642"/>
      <c r="HB279" s="642"/>
      <c r="HC279" s="642"/>
      <c r="HD279" s="642"/>
      <c r="HE279" s="642"/>
      <c r="HF279" s="642"/>
      <c r="HG279" s="642"/>
      <c r="HH279" s="642"/>
      <c r="HI279" s="642"/>
      <c r="HJ279" s="642"/>
      <c r="HK279" s="642"/>
      <c r="HL279" s="642"/>
      <c r="HM279" s="642"/>
      <c r="HN279" s="642"/>
      <c r="HO279" s="642"/>
      <c r="HP279" s="642"/>
      <c r="HQ279" s="642"/>
      <c r="HR279" s="642"/>
      <c r="HS279" s="642"/>
      <c r="HT279" s="642"/>
      <c r="HU279" s="642"/>
      <c r="HV279" s="642"/>
      <c r="HW279" s="642"/>
      <c r="HX279" s="642"/>
      <c r="HY279" s="642"/>
      <c r="HZ279" s="642"/>
      <c r="IA279" s="642"/>
      <c r="IB279" s="642"/>
      <c r="IC279" s="642"/>
      <c r="ID279" s="642"/>
      <c r="IE279" s="642"/>
      <c r="IF279" s="642"/>
      <c r="IG279" s="642"/>
      <c r="IH279" s="642"/>
      <c r="II279" s="642"/>
      <c r="IJ279" s="642"/>
      <c r="IK279" s="642"/>
      <c r="IL279" s="642"/>
      <c r="IM279" s="642"/>
      <c r="IN279" s="642"/>
      <c r="IO279" s="642"/>
    </row>
    <row r="280" spans="1:249" ht="47.25" x14ac:dyDescent="0.25">
      <c r="A280" s="633" t="s">
        <v>596</v>
      </c>
      <c r="B280" s="267" t="s">
        <v>386</v>
      </c>
      <c r="C280" s="368">
        <v>35</v>
      </c>
      <c r="D280" s="430">
        <v>57.2</v>
      </c>
      <c r="E280" s="557">
        <v>100</v>
      </c>
      <c r="F280" s="641"/>
      <c r="G280" s="642"/>
      <c r="H280" s="642"/>
      <c r="I280" s="642"/>
      <c r="J280" s="642"/>
      <c r="K280" s="642"/>
      <c r="L280" s="642"/>
      <c r="M280" s="642"/>
      <c r="N280" s="642"/>
      <c r="O280" s="642"/>
      <c r="P280" s="642"/>
      <c r="Q280" s="642"/>
      <c r="R280" s="642"/>
      <c r="S280" s="642"/>
      <c r="T280" s="642"/>
      <c r="U280" s="642"/>
      <c r="V280" s="642"/>
      <c r="W280" s="642"/>
      <c r="X280" s="642"/>
      <c r="Y280" s="642"/>
      <c r="Z280" s="642"/>
      <c r="AA280" s="642"/>
      <c r="AB280" s="642"/>
      <c r="AC280" s="642"/>
      <c r="AD280" s="642"/>
      <c r="AE280" s="642"/>
      <c r="AF280" s="642"/>
      <c r="AG280" s="642"/>
      <c r="AH280" s="642"/>
      <c r="AI280" s="642"/>
      <c r="AJ280" s="642"/>
      <c r="AK280" s="642"/>
      <c r="AL280" s="642"/>
      <c r="AM280" s="642"/>
      <c r="AN280" s="642"/>
      <c r="AO280" s="642"/>
      <c r="AP280" s="642"/>
      <c r="AQ280" s="642"/>
      <c r="AR280" s="642"/>
      <c r="AS280" s="642"/>
      <c r="AT280" s="642"/>
      <c r="AU280" s="642"/>
      <c r="AV280" s="642"/>
      <c r="AW280" s="642"/>
      <c r="AX280" s="642"/>
      <c r="AY280" s="642"/>
      <c r="AZ280" s="642"/>
      <c r="BA280" s="642"/>
      <c r="BB280" s="642"/>
      <c r="BC280" s="642"/>
      <c r="BD280" s="642"/>
      <c r="BE280" s="642"/>
      <c r="BF280" s="642"/>
      <c r="BG280" s="642"/>
      <c r="BH280" s="642"/>
      <c r="BI280" s="642"/>
      <c r="BJ280" s="642"/>
      <c r="BK280" s="642"/>
      <c r="BL280" s="642"/>
      <c r="BM280" s="642"/>
      <c r="BN280" s="642"/>
      <c r="BO280" s="642"/>
      <c r="BP280" s="642"/>
      <c r="BQ280" s="642"/>
      <c r="BR280" s="642"/>
      <c r="BS280" s="642"/>
      <c r="BT280" s="642"/>
      <c r="BU280" s="642"/>
      <c r="BV280" s="642"/>
      <c r="BW280" s="642"/>
      <c r="BX280" s="642"/>
      <c r="BY280" s="642"/>
      <c r="BZ280" s="642"/>
      <c r="CA280" s="642"/>
      <c r="CB280" s="642"/>
      <c r="CC280" s="642"/>
      <c r="CD280" s="642"/>
      <c r="CE280" s="642"/>
      <c r="CF280" s="642"/>
      <c r="CG280" s="642"/>
      <c r="CH280" s="642"/>
      <c r="CI280" s="642"/>
      <c r="CJ280" s="642"/>
      <c r="CK280" s="642"/>
      <c r="CL280" s="642"/>
      <c r="CM280" s="642"/>
      <c r="CN280" s="642"/>
      <c r="CO280" s="642"/>
      <c r="CP280" s="642"/>
      <c r="CQ280" s="642"/>
      <c r="CR280" s="642"/>
      <c r="CS280" s="642"/>
      <c r="CT280" s="642"/>
      <c r="CU280" s="642"/>
      <c r="CV280" s="642"/>
      <c r="CW280" s="642"/>
      <c r="CX280" s="642"/>
      <c r="CY280" s="642"/>
      <c r="CZ280" s="642"/>
      <c r="DA280" s="642"/>
      <c r="DB280" s="642"/>
      <c r="DC280" s="642"/>
      <c r="DD280" s="642"/>
      <c r="DE280" s="642"/>
      <c r="DF280" s="642"/>
      <c r="DG280" s="642"/>
      <c r="DH280" s="642"/>
      <c r="DI280" s="642"/>
      <c r="DJ280" s="642"/>
      <c r="DK280" s="642"/>
      <c r="DL280" s="642"/>
      <c r="DM280" s="642"/>
      <c r="DN280" s="642"/>
      <c r="DO280" s="642"/>
      <c r="DP280" s="642"/>
      <c r="DQ280" s="642"/>
      <c r="DR280" s="642"/>
      <c r="DS280" s="642"/>
      <c r="DT280" s="642"/>
      <c r="DU280" s="642"/>
      <c r="DV280" s="642"/>
      <c r="DW280" s="642"/>
      <c r="DX280" s="642"/>
      <c r="DY280" s="642"/>
      <c r="DZ280" s="642"/>
      <c r="EA280" s="642"/>
      <c r="EB280" s="642"/>
      <c r="EC280" s="642"/>
      <c r="ED280" s="642"/>
      <c r="EE280" s="642"/>
      <c r="EF280" s="642"/>
      <c r="EG280" s="642"/>
      <c r="EH280" s="642"/>
      <c r="EI280" s="642"/>
      <c r="EJ280" s="642"/>
      <c r="EK280" s="642"/>
      <c r="EL280" s="642"/>
      <c r="EM280" s="642"/>
      <c r="EN280" s="642"/>
      <c r="EO280" s="642"/>
      <c r="EP280" s="642"/>
      <c r="EQ280" s="642"/>
      <c r="ER280" s="642"/>
      <c r="ES280" s="642"/>
      <c r="ET280" s="642"/>
      <c r="EU280" s="642"/>
      <c r="EV280" s="642"/>
      <c r="EW280" s="642"/>
      <c r="EX280" s="642"/>
      <c r="EY280" s="642"/>
      <c r="EZ280" s="642"/>
      <c r="FA280" s="642"/>
      <c r="FB280" s="642"/>
      <c r="FC280" s="642"/>
      <c r="FD280" s="642"/>
      <c r="FE280" s="642"/>
      <c r="FF280" s="642"/>
      <c r="FG280" s="642"/>
      <c r="FH280" s="642"/>
      <c r="FI280" s="642"/>
      <c r="FJ280" s="642"/>
      <c r="FK280" s="642"/>
      <c r="FL280" s="642"/>
      <c r="FM280" s="642"/>
      <c r="FN280" s="642"/>
      <c r="FO280" s="642"/>
      <c r="FP280" s="642"/>
      <c r="FQ280" s="642"/>
      <c r="FR280" s="642"/>
      <c r="FS280" s="642"/>
      <c r="FT280" s="642"/>
      <c r="FU280" s="642"/>
      <c r="FV280" s="642"/>
      <c r="FW280" s="642"/>
      <c r="FX280" s="642"/>
      <c r="FY280" s="642"/>
      <c r="FZ280" s="642"/>
      <c r="GA280" s="642"/>
      <c r="GB280" s="642"/>
      <c r="GC280" s="642"/>
      <c r="GD280" s="642"/>
      <c r="GE280" s="642"/>
      <c r="GF280" s="642"/>
      <c r="GG280" s="642"/>
      <c r="GH280" s="642"/>
      <c r="GI280" s="642"/>
      <c r="GJ280" s="642"/>
      <c r="GK280" s="642"/>
      <c r="GL280" s="642"/>
      <c r="GM280" s="642"/>
      <c r="GN280" s="642"/>
      <c r="GO280" s="642"/>
      <c r="GP280" s="642"/>
      <c r="GQ280" s="642"/>
      <c r="GR280" s="642"/>
      <c r="GS280" s="642"/>
      <c r="GT280" s="642"/>
      <c r="GU280" s="642"/>
      <c r="GV280" s="642"/>
      <c r="GW280" s="642"/>
      <c r="GX280" s="642"/>
      <c r="GY280" s="642"/>
      <c r="GZ280" s="642"/>
      <c r="HA280" s="642"/>
      <c r="HB280" s="642"/>
      <c r="HC280" s="642"/>
      <c r="HD280" s="642"/>
      <c r="HE280" s="642"/>
      <c r="HF280" s="642"/>
      <c r="HG280" s="642"/>
      <c r="HH280" s="642"/>
      <c r="HI280" s="642"/>
      <c r="HJ280" s="642"/>
      <c r="HK280" s="642"/>
      <c r="HL280" s="642"/>
      <c r="HM280" s="642"/>
      <c r="HN280" s="642"/>
      <c r="HO280" s="642"/>
      <c r="HP280" s="642"/>
      <c r="HQ280" s="642"/>
      <c r="HR280" s="642"/>
      <c r="HS280" s="642"/>
      <c r="HT280" s="642"/>
      <c r="HU280" s="642"/>
      <c r="HV280" s="642"/>
      <c r="HW280" s="642"/>
      <c r="HX280" s="642"/>
      <c r="HY280" s="642"/>
      <c r="HZ280" s="642"/>
      <c r="IA280" s="642"/>
      <c r="IB280" s="642"/>
      <c r="IC280" s="642"/>
      <c r="ID280" s="642"/>
      <c r="IE280" s="642"/>
      <c r="IF280" s="642"/>
      <c r="IG280" s="642"/>
      <c r="IH280" s="642"/>
      <c r="II280" s="642"/>
      <c r="IJ280" s="642"/>
      <c r="IK280" s="642"/>
      <c r="IL280" s="642"/>
      <c r="IM280" s="642"/>
      <c r="IN280" s="642"/>
      <c r="IO280" s="642"/>
    </row>
    <row r="281" spans="1:249" ht="18" customHeight="1" x14ac:dyDescent="0.25">
      <c r="A281" s="583" t="s">
        <v>597</v>
      </c>
      <c r="B281" s="267" t="s">
        <v>395</v>
      </c>
      <c r="C281" s="369">
        <v>3766</v>
      </c>
      <c r="D281" s="369">
        <v>4974</v>
      </c>
      <c r="E281" s="557">
        <v>100</v>
      </c>
      <c r="F281" s="641"/>
      <c r="G281" s="642"/>
      <c r="H281" s="642"/>
      <c r="I281" s="642"/>
      <c r="J281" s="642"/>
      <c r="K281" s="642"/>
      <c r="L281" s="642"/>
      <c r="M281" s="642"/>
      <c r="N281" s="642"/>
      <c r="O281" s="642"/>
      <c r="P281" s="642"/>
      <c r="Q281" s="642"/>
      <c r="R281" s="642"/>
      <c r="S281" s="642"/>
      <c r="T281" s="642"/>
      <c r="U281" s="642"/>
      <c r="V281" s="642"/>
      <c r="W281" s="642"/>
      <c r="X281" s="642"/>
      <c r="Y281" s="642"/>
      <c r="Z281" s="642"/>
      <c r="AA281" s="642"/>
      <c r="AB281" s="642"/>
      <c r="AC281" s="642"/>
      <c r="AD281" s="642"/>
      <c r="AE281" s="642"/>
      <c r="AF281" s="642"/>
      <c r="AG281" s="642"/>
      <c r="AH281" s="642"/>
      <c r="AI281" s="642"/>
      <c r="AJ281" s="642"/>
      <c r="AK281" s="642"/>
      <c r="AL281" s="642"/>
      <c r="AM281" s="642"/>
      <c r="AN281" s="642"/>
      <c r="AO281" s="642"/>
      <c r="AP281" s="642"/>
      <c r="AQ281" s="642"/>
      <c r="AR281" s="642"/>
      <c r="AS281" s="642"/>
      <c r="AT281" s="642"/>
      <c r="AU281" s="642"/>
      <c r="AV281" s="642"/>
      <c r="AW281" s="642"/>
      <c r="AX281" s="642"/>
      <c r="AY281" s="642"/>
      <c r="AZ281" s="642"/>
      <c r="BA281" s="642"/>
      <c r="BB281" s="642"/>
      <c r="BC281" s="642"/>
      <c r="BD281" s="642"/>
      <c r="BE281" s="642"/>
      <c r="BF281" s="642"/>
      <c r="BG281" s="642"/>
      <c r="BH281" s="642"/>
      <c r="BI281" s="642"/>
      <c r="BJ281" s="642"/>
      <c r="BK281" s="642"/>
      <c r="BL281" s="642"/>
      <c r="BM281" s="642"/>
      <c r="BN281" s="642"/>
      <c r="BO281" s="642"/>
      <c r="BP281" s="642"/>
      <c r="BQ281" s="642"/>
      <c r="BR281" s="642"/>
      <c r="BS281" s="642"/>
      <c r="BT281" s="642"/>
      <c r="BU281" s="642"/>
      <c r="BV281" s="642"/>
      <c r="BW281" s="642"/>
      <c r="BX281" s="642"/>
      <c r="BY281" s="642"/>
      <c r="BZ281" s="642"/>
      <c r="CA281" s="642"/>
      <c r="CB281" s="642"/>
      <c r="CC281" s="642"/>
      <c r="CD281" s="642"/>
      <c r="CE281" s="642"/>
      <c r="CF281" s="642"/>
      <c r="CG281" s="642"/>
      <c r="CH281" s="642"/>
      <c r="CI281" s="642"/>
      <c r="CJ281" s="642"/>
      <c r="CK281" s="642"/>
      <c r="CL281" s="642"/>
      <c r="CM281" s="642"/>
      <c r="CN281" s="642"/>
      <c r="CO281" s="642"/>
      <c r="CP281" s="642"/>
      <c r="CQ281" s="642"/>
      <c r="CR281" s="642"/>
      <c r="CS281" s="642"/>
      <c r="CT281" s="642"/>
      <c r="CU281" s="642"/>
      <c r="CV281" s="642"/>
      <c r="CW281" s="642"/>
      <c r="CX281" s="642"/>
      <c r="CY281" s="642"/>
      <c r="CZ281" s="642"/>
      <c r="DA281" s="642"/>
      <c r="DB281" s="642"/>
      <c r="DC281" s="642"/>
      <c r="DD281" s="642"/>
      <c r="DE281" s="642"/>
      <c r="DF281" s="642"/>
      <c r="DG281" s="642"/>
      <c r="DH281" s="642"/>
      <c r="DI281" s="642"/>
      <c r="DJ281" s="642"/>
      <c r="DK281" s="642"/>
      <c r="DL281" s="642"/>
      <c r="DM281" s="642"/>
      <c r="DN281" s="642"/>
      <c r="DO281" s="642"/>
      <c r="DP281" s="642"/>
      <c r="DQ281" s="642"/>
      <c r="DR281" s="642"/>
      <c r="DS281" s="642"/>
      <c r="DT281" s="642"/>
      <c r="DU281" s="642"/>
      <c r="DV281" s="642"/>
      <c r="DW281" s="642"/>
      <c r="DX281" s="642"/>
      <c r="DY281" s="642"/>
      <c r="DZ281" s="642"/>
      <c r="EA281" s="642"/>
      <c r="EB281" s="642"/>
      <c r="EC281" s="642"/>
      <c r="ED281" s="642"/>
      <c r="EE281" s="642"/>
      <c r="EF281" s="642"/>
      <c r="EG281" s="642"/>
      <c r="EH281" s="642"/>
      <c r="EI281" s="642"/>
      <c r="EJ281" s="642"/>
      <c r="EK281" s="642"/>
      <c r="EL281" s="642"/>
      <c r="EM281" s="642"/>
      <c r="EN281" s="642"/>
      <c r="EO281" s="642"/>
      <c r="EP281" s="642"/>
      <c r="EQ281" s="642"/>
      <c r="ER281" s="642"/>
      <c r="ES281" s="642"/>
      <c r="ET281" s="642"/>
      <c r="EU281" s="642"/>
      <c r="EV281" s="642"/>
      <c r="EW281" s="642"/>
      <c r="EX281" s="642"/>
      <c r="EY281" s="642"/>
      <c r="EZ281" s="642"/>
      <c r="FA281" s="642"/>
      <c r="FB281" s="642"/>
      <c r="FC281" s="642"/>
      <c r="FD281" s="642"/>
      <c r="FE281" s="642"/>
      <c r="FF281" s="642"/>
      <c r="FG281" s="642"/>
      <c r="FH281" s="642"/>
      <c r="FI281" s="642"/>
      <c r="FJ281" s="642"/>
      <c r="FK281" s="642"/>
      <c r="FL281" s="642"/>
      <c r="FM281" s="642"/>
      <c r="FN281" s="642"/>
      <c r="FO281" s="642"/>
      <c r="FP281" s="642"/>
      <c r="FQ281" s="642"/>
      <c r="FR281" s="642"/>
      <c r="FS281" s="642"/>
      <c r="FT281" s="642"/>
      <c r="FU281" s="642"/>
      <c r="FV281" s="642"/>
      <c r="FW281" s="642"/>
      <c r="FX281" s="642"/>
      <c r="FY281" s="642"/>
      <c r="FZ281" s="642"/>
      <c r="GA281" s="642"/>
      <c r="GB281" s="642"/>
      <c r="GC281" s="642"/>
      <c r="GD281" s="642"/>
      <c r="GE281" s="642"/>
      <c r="GF281" s="642"/>
      <c r="GG281" s="642"/>
      <c r="GH281" s="642"/>
      <c r="GI281" s="642"/>
      <c r="GJ281" s="642"/>
      <c r="GK281" s="642"/>
      <c r="GL281" s="642"/>
      <c r="GM281" s="642"/>
      <c r="GN281" s="642"/>
      <c r="GO281" s="642"/>
      <c r="GP281" s="642"/>
      <c r="GQ281" s="642"/>
      <c r="GR281" s="642"/>
      <c r="GS281" s="642"/>
      <c r="GT281" s="642"/>
      <c r="GU281" s="642"/>
      <c r="GV281" s="642"/>
      <c r="GW281" s="642"/>
      <c r="GX281" s="642"/>
      <c r="GY281" s="642"/>
      <c r="GZ281" s="642"/>
      <c r="HA281" s="642"/>
      <c r="HB281" s="642"/>
      <c r="HC281" s="642"/>
      <c r="HD281" s="642"/>
      <c r="HE281" s="642"/>
      <c r="HF281" s="642"/>
      <c r="HG281" s="642"/>
      <c r="HH281" s="642"/>
      <c r="HI281" s="642"/>
      <c r="HJ281" s="642"/>
      <c r="HK281" s="642"/>
      <c r="HL281" s="642"/>
      <c r="HM281" s="642"/>
      <c r="HN281" s="642"/>
      <c r="HO281" s="642"/>
      <c r="HP281" s="642"/>
      <c r="HQ281" s="642"/>
      <c r="HR281" s="642"/>
      <c r="HS281" s="642"/>
      <c r="HT281" s="642"/>
      <c r="HU281" s="642"/>
      <c r="HV281" s="642"/>
      <c r="HW281" s="642"/>
      <c r="HX281" s="642"/>
      <c r="HY281" s="642"/>
      <c r="HZ281" s="642"/>
      <c r="IA281" s="642"/>
      <c r="IB281" s="642"/>
      <c r="IC281" s="642"/>
      <c r="ID281" s="642"/>
      <c r="IE281" s="642"/>
      <c r="IF281" s="642"/>
      <c r="IG281" s="642"/>
      <c r="IH281" s="642"/>
      <c r="II281" s="642"/>
      <c r="IJ281" s="642"/>
      <c r="IK281" s="642"/>
      <c r="IL281" s="642"/>
      <c r="IM281" s="642"/>
      <c r="IN281" s="642"/>
      <c r="IO281" s="642"/>
    </row>
    <row r="282" spans="1:249" ht="16.5" customHeight="1" x14ac:dyDescent="0.25">
      <c r="A282" s="583" t="s">
        <v>598</v>
      </c>
      <c r="B282" s="267" t="s">
        <v>395</v>
      </c>
      <c r="C282" s="369">
        <v>575</v>
      </c>
      <c r="D282" s="369">
        <v>872</v>
      </c>
      <c r="E282" s="557">
        <v>100</v>
      </c>
      <c r="F282" s="641"/>
      <c r="G282" s="642"/>
      <c r="H282" s="642"/>
      <c r="I282" s="642"/>
      <c r="J282" s="642"/>
      <c r="K282" s="642"/>
      <c r="L282" s="642"/>
      <c r="M282" s="642"/>
      <c r="N282" s="642"/>
      <c r="O282" s="642"/>
      <c r="P282" s="642"/>
      <c r="Q282" s="642"/>
      <c r="R282" s="642"/>
      <c r="S282" s="642"/>
      <c r="T282" s="642"/>
      <c r="U282" s="642"/>
      <c r="V282" s="642"/>
      <c r="W282" s="642"/>
      <c r="X282" s="642"/>
      <c r="Y282" s="642"/>
      <c r="Z282" s="642"/>
      <c r="AA282" s="642"/>
      <c r="AB282" s="642"/>
      <c r="AC282" s="642"/>
      <c r="AD282" s="642"/>
      <c r="AE282" s="642"/>
      <c r="AF282" s="642"/>
      <c r="AG282" s="642"/>
      <c r="AH282" s="642"/>
      <c r="AI282" s="642"/>
      <c r="AJ282" s="642"/>
      <c r="AK282" s="642"/>
      <c r="AL282" s="642"/>
      <c r="AM282" s="642"/>
      <c r="AN282" s="642"/>
      <c r="AO282" s="642"/>
      <c r="AP282" s="642"/>
      <c r="AQ282" s="642"/>
      <c r="AR282" s="642"/>
      <c r="AS282" s="642"/>
      <c r="AT282" s="642"/>
      <c r="AU282" s="642"/>
      <c r="AV282" s="642"/>
      <c r="AW282" s="642"/>
      <c r="AX282" s="642"/>
      <c r="AY282" s="642"/>
      <c r="AZ282" s="642"/>
      <c r="BA282" s="642"/>
      <c r="BB282" s="642"/>
      <c r="BC282" s="642"/>
      <c r="BD282" s="642"/>
      <c r="BE282" s="642"/>
      <c r="BF282" s="642"/>
      <c r="BG282" s="642"/>
      <c r="BH282" s="642"/>
      <c r="BI282" s="642"/>
      <c r="BJ282" s="642"/>
      <c r="BK282" s="642"/>
      <c r="BL282" s="642"/>
      <c r="BM282" s="642"/>
      <c r="BN282" s="642"/>
      <c r="BO282" s="642"/>
      <c r="BP282" s="642"/>
      <c r="BQ282" s="642"/>
      <c r="BR282" s="642"/>
      <c r="BS282" s="642"/>
      <c r="BT282" s="642"/>
      <c r="BU282" s="642"/>
      <c r="BV282" s="642"/>
      <c r="BW282" s="642"/>
      <c r="BX282" s="642"/>
      <c r="BY282" s="642"/>
      <c r="BZ282" s="642"/>
      <c r="CA282" s="642"/>
      <c r="CB282" s="642"/>
      <c r="CC282" s="642"/>
      <c r="CD282" s="642"/>
      <c r="CE282" s="642"/>
      <c r="CF282" s="642"/>
      <c r="CG282" s="642"/>
      <c r="CH282" s="642"/>
      <c r="CI282" s="642"/>
      <c r="CJ282" s="642"/>
      <c r="CK282" s="642"/>
      <c r="CL282" s="642"/>
      <c r="CM282" s="642"/>
      <c r="CN282" s="642"/>
      <c r="CO282" s="642"/>
      <c r="CP282" s="642"/>
      <c r="CQ282" s="642"/>
      <c r="CR282" s="642"/>
      <c r="CS282" s="642"/>
      <c r="CT282" s="642"/>
      <c r="CU282" s="642"/>
      <c r="CV282" s="642"/>
      <c r="CW282" s="642"/>
      <c r="CX282" s="642"/>
      <c r="CY282" s="642"/>
      <c r="CZ282" s="642"/>
      <c r="DA282" s="642"/>
      <c r="DB282" s="642"/>
      <c r="DC282" s="642"/>
      <c r="DD282" s="642"/>
      <c r="DE282" s="642"/>
      <c r="DF282" s="642"/>
      <c r="DG282" s="642"/>
      <c r="DH282" s="642"/>
      <c r="DI282" s="642"/>
      <c r="DJ282" s="642"/>
      <c r="DK282" s="642"/>
      <c r="DL282" s="642"/>
      <c r="DM282" s="642"/>
      <c r="DN282" s="642"/>
      <c r="DO282" s="642"/>
      <c r="DP282" s="642"/>
      <c r="DQ282" s="642"/>
      <c r="DR282" s="642"/>
      <c r="DS282" s="642"/>
      <c r="DT282" s="642"/>
      <c r="DU282" s="642"/>
      <c r="DV282" s="642"/>
      <c r="DW282" s="642"/>
      <c r="DX282" s="642"/>
      <c r="DY282" s="642"/>
      <c r="DZ282" s="642"/>
      <c r="EA282" s="642"/>
      <c r="EB282" s="642"/>
      <c r="EC282" s="642"/>
      <c r="ED282" s="642"/>
      <c r="EE282" s="642"/>
      <c r="EF282" s="642"/>
      <c r="EG282" s="642"/>
      <c r="EH282" s="642"/>
      <c r="EI282" s="642"/>
      <c r="EJ282" s="642"/>
      <c r="EK282" s="642"/>
      <c r="EL282" s="642"/>
      <c r="EM282" s="642"/>
      <c r="EN282" s="642"/>
      <c r="EO282" s="642"/>
      <c r="EP282" s="642"/>
      <c r="EQ282" s="642"/>
      <c r="ER282" s="642"/>
      <c r="ES282" s="642"/>
      <c r="ET282" s="642"/>
      <c r="EU282" s="642"/>
      <c r="EV282" s="642"/>
      <c r="EW282" s="642"/>
      <c r="EX282" s="642"/>
      <c r="EY282" s="642"/>
      <c r="EZ282" s="642"/>
      <c r="FA282" s="642"/>
      <c r="FB282" s="642"/>
      <c r="FC282" s="642"/>
      <c r="FD282" s="642"/>
      <c r="FE282" s="642"/>
      <c r="FF282" s="642"/>
      <c r="FG282" s="642"/>
      <c r="FH282" s="642"/>
      <c r="FI282" s="642"/>
      <c r="FJ282" s="642"/>
      <c r="FK282" s="642"/>
      <c r="FL282" s="642"/>
      <c r="FM282" s="642"/>
      <c r="FN282" s="642"/>
      <c r="FO282" s="642"/>
      <c r="FP282" s="642"/>
      <c r="FQ282" s="642"/>
      <c r="FR282" s="642"/>
      <c r="FS282" s="642"/>
      <c r="FT282" s="642"/>
      <c r="FU282" s="642"/>
      <c r="FV282" s="642"/>
      <c r="FW282" s="642"/>
      <c r="FX282" s="642"/>
      <c r="FY282" s="642"/>
      <c r="FZ282" s="642"/>
      <c r="GA282" s="642"/>
      <c r="GB282" s="642"/>
      <c r="GC282" s="642"/>
      <c r="GD282" s="642"/>
      <c r="GE282" s="642"/>
      <c r="GF282" s="642"/>
      <c r="GG282" s="642"/>
      <c r="GH282" s="642"/>
      <c r="GI282" s="642"/>
      <c r="GJ282" s="642"/>
      <c r="GK282" s="642"/>
      <c r="GL282" s="642"/>
      <c r="GM282" s="642"/>
      <c r="GN282" s="642"/>
      <c r="GO282" s="642"/>
      <c r="GP282" s="642"/>
      <c r="GQ282" s="642"/>
      <c r="GR282" s="642"/>
      <c r="GS282" s="642"/>
      <c r="GT282" s="642"/>
      <c r="GU282" s="642"/>
      <c r="GV282" s="642"/>
      <c r="GW282" s="642"/>
      <c r="GX282" s="642"/>
      <c r="GY282" s="642"/>
      <c r="GZ282" s="642"/>
      <c r="HA282" s="642"/>
      <c r="HB282" s="642"/>
      <c r="HC282" s="642"/>
      <c r="HD282" s="642"/>
      <c r="HE282" s="642"/>
      <c r="HF282" s="642"/>
      <c r="HG282" s="642"/>
      <c r="HH282" s="642"/>
      <c r="HI282" s="642"/>
      <c r="HJ282" s="642"/>
      <c r="HK282" s="642"/>
      <c r="HL282" s="642"/>
      <c r="HM282" s="642"/>
      <c r="HN282" s="642"/>
      <c r="HO282" s="642"/>
      <c r="HP282" s="642"/>
      <c r="HQ282" s="642"/>
      <c r="HR282" s="642"/>
      <c r="HS282" s="642"/>
      <c r="HT282" s="642"/>
      <c r="HU282" s="642"/>
      <c r="HV282" s="642"/>
      <c r="HW282" s="642"/>
      <c r="HX282" s="642"/>
      <c r="HY282" s="642"/>
      <c r="HZ282" s="642"/>
      <c r="IA282" s="642"/>
      <c r="IB282" s="642"/>
      <c r="IC282" s="642"/>
      <c r="ID282" s="642"/>
      <c r="IE282" s="642"/>
      <c r="IF282" s="642"/>
      <c r="IG282" s="642"/>
      <c r="IH282" s="642"/>
      <c r="II282" s="642"/>
      <c r="IJ282" s="642"/>
      <c r="IK282" s="642"/>
      <c r="IL282" s="642"/>
      <c r="IM282" s="642"/>
      <c r="IN282" s="642"/>
      <c r="IO282" s="642"/>
    </row>
    <row r="283" spans="1:249" ht="31.5" x14ac:dyDescent="0.25">
      <c r="A283" s="633" t="s">
        <v>599</v>
      </c>
      <c r="B283" s="267" t="s">
        <v>395</v>
      </c>
      <c r="C283" s="376">
        <v>72</v>
      </c>
      <c r="D283" s="369">
        <v>75</v>
      </c>
      <c r="E283" s="557">
        <v>100</v>
      </c>
      <c r="F283" s="641"/>
      <c r="G283" s="642"/>
      <c r="H283" s="642"/>
      <c r="I283" s="642"/>
      <c r="J283" s="642"/>
      <c r="K283" s="642"/>
      <c r="L283" s="642"/>
      <c r="M283" s="642"/>
      <c r="N283" s="642"/>
      <c r="O283" s="642"/>
      <c r="P283" s="642"/>
      <c r="Q283" s="642"/>
      <c r="R283" s="642"/>
      <c r="S283" s="642"/>
      <c r="T283" s="642"/>
      <c r="U283" s="642"/>
      <c r="V283" s="642"/>
      <c r="W283" s="642"/>
      <c r="X283" s="642"/>
      <c r="Y283" s="642"/>
      <c r="Z283" s="642"/>
      <c r="AA283" s="642"/>
      <c r="AB283" s="642"/>
      <c r="AC283" s="642"/>
      <c r="AD283" s="642"/>
      <c r="AE283" s="642"/>
      <c r="AF283" s="642"/>
      <c r="AG283" s="642"/>
      <c r="AH283" s="642"/>
      <c r="AI283" s="642"/>
      <c r="AJ283" s="642"/>
      <c r="AK283" s="642"/>
      <c r="AL283" s="642"/>
      <c r="AM283" s="642"/>
      <c r="AN283" s="642"/>
      <c r="AO283" s="642"/>
      <c r="AP283" s="642"/>
      <c r="AQ283" s="642"/>
      <c r="AR283" s="642"/>
      <c r="AS283" s="642"/>
      <c r="AT283" s="642"/>
      <c r="AU283" s="642"/>
      <c r="AV283" s="642"/>
      <c r="AW283" s="642"/>
      <c r="AX283" s="642"/>
      <c r="AY283" s="642"/>
      <c r="AZ283" s="642"/>
      <c r="BA283" s="642"/>
      <c r="BB283" s="642"/>
      <c r="BC283" s="642"/>
      <c r="BD283" s="642"/>
      <c r="BE283" s="642"/>
      <c r="BF283" s="642"/>
      <c r="BG283" s="642"/>
      <c r="BH283" s="642"/>
      <c r="BI283" s="642"/>
      <c r="BJ283" s="642"/>
      <c r="BK283" s="642"/>
      <c r="BL283" s="642"/>
      <c r="BM283" s="642"/>
      <c r="BN283" s="642"/>
      <c r="BO283" s="642"/>
      <c r="BP283" s="642"/>
      <c r="BQ283" s="642"/>
      <c r="BR283" s="642"/>
      <c r="BS283" s="642"/>
      <c r="BT283" s="642"/>
      <c r="BU283" s="642"/>
      <c r="BV283" s="642"/>
      <c r="BW283" s="642"/>
      <c r="BX283" s="642"/>
      <c r="BY283" s="642"/>
      <c r="BZ283" s="642"/>
      <c r="CA283" s="642"/>
      <c r="CB283" s="642"/>
      <c r="CC283" s="642"/>
      <c r="CD283" s="642"/>
      <c r="CE283" s="642"/>
      <c r="CF283" s="642"/>
      <c r="CG283" s="642"/>
      <c r="CH283" s="642"/>
      <c r="CI283" s="642"/>
      <c r="CJ283" s="642"/>
      <c r="CK283" s="642"/>
      <c r="CL283" s="642"/>
      <c r="CM283" s="642"/>
      <c r="CN283" s="642"/>
      <c r="CO283" s="642"/>
      <c r="CP283" s="642"/>
      <c r="CQ283" s="642"/>
      <c r="CR283" s="642"/>
      <c r="CS283" s="642"/>
      <c r="CT283" s="642"/>
      <c r="CU283" s="642"/>
      <c r="CV283" s="642"/>
      <c r="CW283" s="642"/>
      <c r="CX283" s="642"/>
      <c r="CY283" s="642"/>
      <c r="CZ283" s="642"/>
      <c r="DA283" s="642"/>
      <c r="DB283" s="642"/>
      <c r="DC283" s="642"/>
      <c r="DD283" s="642"/>
      <c r="DE283" s="642"/>
      <c r="DF283" s="642"/>
      <c r="DG283" s="642"/>
      <c r="DH283" s="642"/>
      <c r="DI283" s="642"/>
      <c r="DJ283" s="642"/>
      <c r="DK283" s="642"/>
      <c r="DL283" s="642"/>
      <c r="DM283" s="642"/>
      <c r="DN283" s="642"/>
      <c r="DO283" s="642"/>
      <c r="DP283" s="642"/>
      <c r="DQ283" s="642"/>
      <c r="DR283" s="642"/>
      <c r="DS283" s="642"/>
      <c r="DT283" s="642"/>
      <c r="DU283" s="642"/>
      <c r="DV283" s="642"/>
      <c r="DW283" s="642"/>
      <c r="DX283" s="642"/>
      <c r="DY283" s="642"/>
      <c r="DZ283" s="642"/>
      <c r="EA283" s="642"/>
      <c r="EB283" s="642"/>
      <c r="EC283" s="642"/>
      <c r="ED283" s="642"/>
      <c r="EE283" s="642"/>
      <c r="EF283" s="642"/>
      <c r="EG283" s="642"/>
      <c r="EH283" s="642"/>
      <c r="EI283" s="642"/>
      <c r="EJ283" s="642"/>
      <c r="EK283" s="642"/>
      <c r="EL283" s="642"/>
      <c r="EM283" s="642"/>
      <c r="EN283" s="642"/>
      <c r="EO283" s="642"/>
      <c r="EP283" s="642"/>
      <c r="EQ283" s="642"/>
      <c r="ER283" s="642"/>
      <c r="ES283" s="642"/>
      <c r="ET283" s="642"/>
      <c r="EU283" s="642"/>
      <c r="EV283" s="642"/>
      <c r="EW283" s="642"/>
      <c r="EX283" s="642"/>
      <c r="EY283" s="642"/>
      <c r="EZ283" s="642"/>
      <c r="FA283" s="642"/>
      <c r="FB283" s="642"/>
      <c r="FC283" s="642"/>
      <c r="FD283" s="642"/>
      <c r="FE283" s="642"/>
      <c r="FF283" s="642"/>
      <c r="FG283" s="642"/>
      <c r="FH283" s="642"/>
      <c r="FI283" s="642"/>
      <c r="FJ283" s="642"/>
      <c r="FK283" s="642"/>
      <c r="FL283" s="642"/>
      <c r="FM283" s="642"/>
      <c r="FN283" s="642"/>
      <c r="FO283" s="642"/>
      <c r="FP283" s="642"/>
      <c r="FQ283" s="642"/>
      <c r="FR283" s="642"/>
      <c r="FS283" s="642"/>
      <c r="FT283" s="642"/>
      <c r="FU283" s="642"/>
      <c r="FV283" s="642"/>
      <c r="FW283" s="642"/>
      <c r="FX283" s="642"/>
      <c r="FY283" s="642"/>
      <c r="FZ283" s="642"/>
      <c r="GA283" s="642"/>
      <c r="GB283" s="642"/>
      <c r="GC283" s="642"/>
      <c r="GD283" s="642"/>
      <c r="GE283" s="642"/>
      <c r="GF283" s="642"/>
      <c r="GG283" s="642"/>
      <c r="GH283" s="642"/>
      <c r="GI283" s="642"/>
      <c r="GJ283" s="642"/>
      <c r="GK283" s="642"/>
      <c r="GL283" s="642"/>
      <c r="GM283" s="642"/>
      <c r="GN283" s="642"/>
      <c r="GO283" s="642"/>
      <c r="GP283" s="642"/>
      <c r="GQ283" s="642"/>
      <c r="GR283" s="642"/>
      <c r="GS283" s="642"/>
      <c r="GT283" s="642"/>
      <c r="GU283" s="642"/>
      <c r="GV283" s="642"/>
      <c r="GW283" s="642"/>
      <c r="GX283" s="642"/>
      <c r="GY283" s="642"/>
      <c r="GZ283" s="642"/>
      <c r="HA283" s="642"/>
      <c r="HB283" s="642"/>
      <c r="HC283" s="642"/>
      <c r="HD283" s="642"/>
      <c r="HE283" s="642"/>
      <c r="HF283" s="642"/>
      <c r="HG283" s="642"/>
      <c r="HH283" s="642"/>
      <c r="HI283" s="642"/>
      <c r="HJ283" s="642"/>
      <c r="HK283" s="642"/>
      <c r="HL283" s="642"/>
      <c r="HM283" s="642"/>
      <c r="HN283" s="642"/>
      <c r="HO283" s="642"/>
      <c r="HP283" s="642"/>
      <c r="HQ283" s="642"/>
      <c r="HR283" s="642"/>
      <c r="HS283" s="642"/>
      <c r="HT283" s="642"/>
      <c r="HU283" s="642"/>
      <c r="HV283" s="642"/>
      <c r="HW283" s="642"/>
      <c r="HX283" s="642"/>
      <c r="HY283" s="642"/>
      <c r="HZ283" s="642"/>
      <c r="IA283" s="642"/>
      <c r="IB283" s="642"/>
      <c r="IC283" s="642"/>
      <c r="ID283" s="642"/>
      <c r="IE283" s="642"/>
      <c r="IF283" s="642"/>
      <c r="IG283" s="642"/>
      <c r="IH283" s="642"/>
      <c r="II283" s="642"/>
      <c r="IJ283" s="642"/>
      <c r="IK283" s="642"/>
      <c r="IL283" s="642"/>
      <c r="IM283" s="642"/>
      <c r="IN283" s="642"/>
      <c r="IO283" s="642"/>
    </row>
    <row r="284" spans="1:249" ht="20.25" customHeight="1" x14ac:dyDescent="0.25">
      <c r="A284" s="633" t="s">
        <v>600</v>
      </c>
      <c r="B284" s="267" t="s">
        <v>583</v>
      </c>
      <c r="C284" s="369">
        <v>1</v>
      </c>
      <c r="D284" s="369">
        <v>1</v>
      </c>
      <c r="E284" s="557">
        <f t="shared" ref="E284" si="20">SUM(D284/C284*100)</f>
        <v>100</v>
      </c>
      <c r="F284" s="641"/>
      <c r="G284" s="642"/>
      <c r="H284" s="642"/>
      <c r="I284" s="642"/>
      <c r="J284" s="642"/>
      <c r="K284" s="642"/>
      <c r="L284" s="642"/>
      <c r="M284" s="642"/>
      <c r="N284" s="642"/>
      <c r="O284" s="642"/>
      <c r="P284" s="642"/>
      <c r="Q284" s="642"/>
      <c r="R284" s="642"/>
      <c r="S284" s="642"/>
      <c r="T284" s="642"/>
      <c r="U284" s="642"/>
      <c r="V284" s="642"/>
      <c r="W284" s="642"/>
      <c r="X284" s="642"/>
      <c r="Y284" s="642"/>
      <c r="Z284" s="642"/>
      <c r="AA284" s="642"/>
      <c r="AB284" s="642"/>
      <c r="AC284" s="642"/>
      <c r="AD284" s="642"/>
      <c r="AE284" s="642"/>
      <c r="AF284" s="642"/>
      <c r="AG284" s="642"/>
      <c r="AH284" s="642"/>
      <c r="AI284" s="642"/>
      <c r="AJ284" s="642"/>
      <c r="AK284" s="642"/>
      <c r="AL284" s="642"/>
      <c r="AM284" s="642"/>
      <c r="AN284" s="642"/>
      <c r="AO284" s="642"/>
      <c r="AP284" s="642"/>
      <c r="AQ284" s="642"/>
      <c r="AR284" s="642"/>
      <c r="AS284" s="642"/>
      <c r="AT284" s="642"/>
      <c r="AU284" s="642"/>
      <c r="AV284" s="642"/>
      <c r="AW284" s="642"/>
      <c r="AX284" s="642"/>
      <c r="AY284" s="642"/>
      <c r="AZ284" s="642"/>
      <c r="BA284" s="642"/>
      <c r="BB284" s="642"/>
      <c r="BC284" s="642"/>
      <c r="BD284" s="642"/>
      <c r="BE284" s="642"/>
      <c r="BF284" s="642"/>
      <c r="BG284" s="642"/>
      <c r="BH284" s="642"/>
      <c r="BI284" s="642"/>
      <c r="BJ284" s="642"/>
      <c r="BK284" s="642"/>
      <c r="BL284" s="642"/>
      <c r="BM284" s="642"/>
      <c r="BN284" s="642"/>
      <c r="BO284" s="642"/>
      <c r="BP284" s="642"/>
      <c r="BQ284" s="642"/>
      <c r="BR284" s="642"/>
      <c r="BS284" s="642"/>
      <c r="BT284" s="642"/>
      <c r="BU284" s="642"/>
      <c r="BV284" s="642"/>
      <c r="BW284" s="642"/>
      <c r="BX284" s="642"/>
      <c r="BY284" s="642"/>
      <c r="BZ284" s="642"/>
      <c r="CA284" s="642"/>
      <c r="CB284" s="642"/>
      <c r="CC284" s="642"/>
      <c r="CD284" s="642"/>
      <c r="CE284" s="642"/>
      <c r="CF284" s="642"/>
      <c r="CG284" s="642"/>
      <c r="CH284" s="642"/>
      <c r="CI284" s="642"/>
      <c r="CJ284" s="642"/>
      <c r="CK284" s="642"/>
      <c r="CL284" s="642"/>
      <c r="CM284" s="642"/>
      <c r="CN284" s="642"/>
      <c r="CO284" s="642"/>
      <c r="CP284" s="642"/>
      <c r="CQ284" s="642"/>
      <c r="CR284" s="642"/>
      <c r="CS284" s="642"/>
      <c r="CT284" s="642"/>
      <c r="CU284" s="642"/>
      <c r="CV284" s="642"/>
      <c r="CW284" s="642"/>
      <c r="CX284" s="642"/>
      <c r="CY284" s="642"/>
      <c r="CZ284" s="642"/>
      <c r="DA284" s="642"/>
      <c r="DB284" s="642"/>
      <c r="DC284" s="642"/>
      <c r="DD284" s="642"/>
      <c r="DE284" s="642"/>
      <c r="DF284" s="642"/>
      <c r="DG284" s="642"/>
      <c r="DH284" s="642"/>
      <c r="DI284" s="642"/>
      <c r="DJ284" s="642"/>
      <c r="DK284" s="642"/>
      <c r="DL284" s="642"/>
      <c r="DM284" s="642"/>
      <c r="DN284" s="642"/>
      <c r="DO284" s="642"/>
      <c r="DP284" s="642"/>
      <c r="DQ284" s="642"/>
      <c r="DR284" s="642"/>
      <c r="DS284" s="642"/>
      <c r="DT284" s="642"/>
      <c r="DU284" s="642"/>
      <c r="DV284" s="642"/>
      <c r="DW284" s="642"/>
      <c r="DX284" s="642"/>
      <c r="DY284" s="642"/>
      <c r="DZ284" s="642"/>
      <c r="EA284" s="642"/>
      <c r="EB284" s="642"/>
      <c r="EC284" s="642"/>
      <c r="ED284" s="642"/>
      <c r="EE284" s="642"/>
      <c r="EF284" s="642"/>
      <c r="EG284" s="642"/>
      <c r="EH284" s="642"/>
      <c r="EI284" s="642"/>
      <c r="EJ284" s="642"/>
      <c r="EK284" s="642"/>
      <c r="EL284" s="642"/>
      <c r="EM284" s="642"/>
      <c r="EN284" s="642"/>
      <c r="EO284" s="642"/>
      <c r="EP284" s="642"/>
      <c r="EQ284" s="642"/>
      <c r="ER284" s="642"/>
      <c r="ES284" s="642"/>
      <c r="ET284" s="642"/>
      <c r="EU284" s="642"/>
      <c r="EV284" s="642"/>
      <c r="EW284" s="642"/>
      <c r="EX284" s="642"/>
      <c r="EY284" s="642"/>
      <c r="EZ284" s="642"/>
      <c r="FA284" s="642"/>
      <c r="FB284" s="642"/>
      <c r="FC284" s="642"/>
      <c r="FD284" s="642"/>
      <c r="FE284" s="642"/>
      <c r="FF284" s="642"/>
      <c r="FG284" s="642"/>
      <c r="FH284" s="642"/>
      <c r="FI284" s="642"/>
      <c r="FJ284" s="642"/>
      <c r="FK284" s="642"/>
      <c r="FL284" s="642"/>
      <c r="FM284" s="642"/>
      <c r="FN284" s="642"/>
      <c r="FO284" s="642"/>
      <c r="FP284" s="642"/>
      <c r="FQ284" s="642"/>
      <c r="FR284" s="642"/>
      <c r="FS284" s="642"/>
      <c r="FT284" s="642"/>
      <c r="FU284" s="642"/>
      <c r="FV284" s="642"/>
      <c r="FW284" s="642"/>
      <c r="FX284" s="642"/>
      <c r="FY284" s="642"/>
      <c r="FZ284" s="642"/>
      <c r="GA284" s="642"/>
      <c r="GB284" s="642"/>
      <c r="GC284" s="642"/>
      <c r="GD284" s="642"/>
      <c r="GE284" s="642"/>
      <c r="GF284" s="642"/>
      <c r="GG284" s="642"/>
      <c r="GH284" s="642"/>
      <c r="GI284" s="642"/>
      <c r="GJ284" s="642"/>
      <c r="GK284" s="642"/>
      <c r="GL284" s="642"/>
      <c r="GM284" s="642"/>
      <c r="GN284" s="642"/>
      <c r="GO284" s="642"/>
      <c r="GP284" s="642"/>
      <c r="GQ284" s="642"/>
      <c r="GR284" s="642"/>
      <c r="GS284" s="642"/>
      <c r="GT284" s="642"/>
      <c r="GU284" s="642"/>
      <c r="GV284" s="642"/>
      <c r="GW284" s="642"/>
      <c r="GX284" s="642"/>
      <c r="GY284" s="642"/>
      <c r="GZ284" s="642"/>
      <c r="HA284" s="642"/>
      <c r="HB284" s="642"/>
      <c r="HC284" s="642"/>
      <c r="HD284" s="642"/>
      <c r="HE284" s="642"/>
      <c r="HF284" s="642"/>
      <c r="HG284" s="642"/>
      <c r="HH284" s="642"/>
      <c r="HI284" s="642"/>
      <c r="HJ284" s="642"/>
      <c r="HK284" s="642"/>
      <c r="HL284" s="642"/>
      <c r="HM284" s="642"/>
      <c r="HN284" s="642"/>
      <c r="HO284" s="642"/>
      <c r="HP284" s="642"/>
      <c r="HQ284" s="642"/>
      <c r="HR284" s="642"/>
      <c r="HS284" s="642"/>
      <c r="HT284" s="642"/>
      <c r="HU284" s="642"/>
      <c r="HV284" s="642"/>
      <c r="HW284" s="642"/>
      <c r="HX284" s="642"/>
      <c r="HY284" s="642"/>
      <c r="HZ284" s="642"/>
      <c r="IA284" s="642"/>
      <c r="IB284" s="642"/>
      <c r="IC284" s="642"/>
      <c r="ID284" s="642"/>
      <c r="IE284" s="642"/>
      <c r="IF284" s="642"/>
      <c r="IG284" s="642"/>
      <c r="IH284" s="642"/>
      <c r="II284" s="642"/>
      <c r="IJ284" s="642"/>
      <c r="IK284" s="642"/>
      <c r="IL284" s="642"/>
      <c r="IM284" s="642"/>
      <c r="IN284" s="642"/>
      <c r="IO284" s="642"/>
    </row>
    <row r="285" spans="1:249" x14ac:dyDescent="0.25">
      <c r="A285" s="780" t="s">
        <v>1160</v>
      </c>
      <c r="B285" s="780"/>
      <c r="C285" s="780"/>
      <c r="D285" s="780"/>
      <c r="E285" s="780"/>
      <c r="F285" s="544">
        <f>SUM(E288+E289+E290+E292+E293+E294+E295+E296+E297+E299+E300+E301+E303+E304+E305+E307+E308+E310+E311+E313+E314)/21</f>
        <v>94.709523809523816</v>
      </c>
    </row>
    <row r="286" spans="1:249" ht="33" customHeight="1" x14ac:dyDescent="0.25">
      <c r="A286" s="786" t="s">
        <v>601</v>
      </c>
      <c r="B286" s="787"/>
      <c r="C286" s="787"/>
      <c r="D286" s="787"/>
      <c r="E286" s="788"/>
      <c r="F286" s="523"/>
    </row>
    <row r="287" spans="1:249" ht="22.5" customHeight="1" x14ac:dyDescent="0.25">
      <c r="A287" s="789" t="s">
        <v>602</v>
      </c>
      <c r="B287" s="790"/>
      <c r="C287" s="790"/>
      <c r="D287" s="790"/>
      <c r="E287" s="791"/>
      <c r="F287" s="523"/>
    </row>
    <row r="288" spans="1:249" ht="31.5" x14ac:dyDescent="0.25">
      <c r="A288" s="150" t="s">
        <v>603</v>
      </c>
      <c r="B288" s="463" t="s">
        <v>386</v>
      </c>
      <c r="C288" s="665">
        <v>100</v>
      </c>
      <c r="D288" s="602">
        <v>88.9</v>
      </c>
      <c r="E288" s="666">
        <f>D288/C288*100</f>
        <v>88.9</v>
      </c>
      <c r="F288" s="556"/>
      <c r="G288" s="642"/>
      <c r="H288" s="642"/>
      <c r="I288" s="642"/>
      <c r="J288" s="642"/>
      <c r="K288" s="642"/>
      <c r="L288" s="642"/>
      <c r="M288" s="642"/>
      <c r="N288" s="642"/>
      <c r="O288" s="642"/>
      <c r="P288" s="642"/>
      <c r="Q288" s="642"/>
      <c r="R288" s="642"/>
      <c r="S288" s="642"/>
      <c r="T288" s="642"/>
      <c r="U288" s="642"/>
      <c r="V288" s="642"/>
      <c r="W288" s="642"/>
      <c r="X288" s="642"/>
      <c r="Y288" s="642"/>
      <c r="Z288" s="642"/>
      <c r="AA288" s="642"/>
      <c r="AB288" s="642"/>
      <c r="AC288" s="642"/>
      <c r="AD288" s="642"/>
      <c r="AE288" s="642"/>
      <c r="AF288" s="642"/>
      <c r="AG288" s="642"/>
      <c r="AH288" s="642"/>
      <c r="AI288" s="642"/>
      <c r="AJ288" s="642"/>
      <c r="AK288" s="642"/>
      <c r="AL288" s="642"/>
      <c r="AM288" s="642"/>
      <c r="AN288" s="642"/>
      <c r="AO288" s="642"/>
      <c r="AP288" s="642"/>
      <c r="AQ288" s="642"/>
      <c r="AR288" s="642"/>
      <c r="AS288" s="642"/>
      <c r="AT288" s="642"/>
      <c r="AU288" s="642"/>
      <c r="AV288" s="642"/>
      <c r="AW288" s="642"/>
      <c r="AX288" s="642"/>
      <c r="AY288" s="642"/>
      <c r="AZ288" s="642"/>
      <c r="BA288" s="642"/>
      <c r="BB288" s="642"/>
      <c r="BC288" s="642"/>
      <c r="BD288" s="642"/>
      <c r="BE288" s="642"/>
      <c r="BF288" s="642"/>
      <c r="BG288" s="642"/>
      <c r="BH288" s="642"/>
      <c r="BI288" s="642"/>
      <c r="BJ288" s="642"/>
      <c r="BK288" s="642"/>
      <c r="BL288" s="642"/>
      <c r="BM288" s="642"/>
      <c r="BN288" s="642"/>
      <c r="BO288" s="642"/>
      <c r="BP288" s="642"/>
      <c r="BQ288" s="642"/>
      <c r="BR288" s="642"/>
      <c r="BS288" s="642"/>
      <c r="BT288" s="642"/>
      <c r="BU288" s="642"/>
      <c r="BV288" s="642"/>
      <c r="BW288" s="642"/>
      <c r="BX288" s="642"/>
      <c r="BY288" s="642"/>
      <c r="BZ288" s="642"/>
      <c r="CA288" s="642"/>
      <c r="CB288" s="642"/>
      <c r="CC288" s="642"/>
      <c r="CD288" s="642"/>
      <c r="CE288" s="642"/>
      <c r="CF288" s="642"/>
      <c r="CG288" s="642"/>
      <c r="CH288" s="642"/>
      <c r="CI288" s="642"/>
      <c r="CJ288" s="642"/>
      <c r="CK288" s="642"/>
      <c r="CL288" s="642"/>
      <c r="CM288" s="642"/>
      <c r="CN288" s="642"/>
      <c r="CO288" s="642"/>
      <c r="CP288" s="642"/>
      <c r="CQ288" s="642"/>
      <c r="CR288" s="642"/>
      <c r="CS288" s="642"/>
      <c r="CT288" s="642"/>
      <c r="CU288" s="642"/>
      <c r="CV288" s="642"/>
      <c r="CW288" s="642"/>
      <c r="CX288" s="642"/>
      <c r="CY288" s="642"/>
      <c r="CZ288" s="642"/>
      <c r="DA288" s="642"/>
      <c r="DB288" s="642"/>
      <c r="DC288" s="642"/>
      <c r="DD288" s="642"/>
      <c r="DE288" s="642"/>
      <c r="DF288" s="642"/>
      <c r="DG288" s="642"/>
      <c r="DH288" s="642"/>
      <c r="DI288" s="642"/>
      <c r="DJ288" s="642"/>
      <c r="DK288" s="642"/>
      <c r="DL288" s="642"/>
      <c r="DM288" s="642"/>
      <c r="DN288" s="642"/>
      <c r="DO288" s="642"/>
      <c r="DP288" s="642"/>
      <c r="DQ288" s="642"/>
      <c r="DR288" s="642"/>
      <c r="DS288" s="642"/>
      <c r="DT288" s="642"/>
      <c r="DU288" s="642"/>
      <c r="DV288" s="642"/>
      <c r="DW288" s="642"/>
      <c r="DX288" s="642"/>
      <c r="DY288" s="642"/>
      <c r="DZ288" s="642"/>
      <c r="EA288" s="642"/>
      <c r="EB288" s="642"/>
      <c r="EC288" s="642"/>
      <c r="ED288" s="642"/>
      <c r="EE288" s="642"/>
      <c r="EF288" s="642"/>
      <c r="EG288" s="642"/>
      <c r="EH288" s="642"/>
      <c r="EI288" s="642"/>
      <c r="EJ288" s="642"/>
      <c r="EK288" s="642"/>
      <c r="EL288" s="642"/>
      <c r="EM288" s="642"/>
      <c r="EN288" s="642"/>
      <c r="EO288" s="642"/>
      <c r="EP288" s="642"/>
      <c r="EQ288" s="642"/>
      <c r="ER288" s="642"/>
      <c r="ES288" s="642"/>
      <c r="ET288" s="642"/>
      <c r="EU288" s="642"/>
      <c r="EV288" s="642"/>
      <c r="EW288" s="642"/>
      <c r="EX288" s="642"/>
      <c r="EY288" s="642"/>
      <c r="EZ288" s="642"/>
      <c r="FA288" s="642"/>
      <c r="FB288" s="642"/>
      <c r="FC288" s="642"/>
      <c r="FD288" s="642"/>
      <c r="FE288" s="642"/>
      <c r="FF288" s="642"/>
      <c r="FG288" s="642"/>
      <c r="FH288" s="642"/>
      <c r="FI288" s="642"/>
      <c r="FJ288" s="642"/>
      <c r="FK288" s="642"/>
      <c r="FL288" s="642"/>
      <c r="FM288" s="642"/>
      <c r="FN288" s="642"/>
      <c r="FO288" s="642"/>
      <c r="FP288" s="642"/>
      <c r="FQ288" s="642"/>
      <c r="FR288" s="642"/>
      <c r="FS288" s="642"/>
      <c r="FT288" s="642"/>
      <c r="FU288" s="642"/>
      <c r="FV288" s="642"/>
      <c r="FW288" s="642"/>
      <c r="FX288" s="642"/>
      <c r="FY288" s="642"/>
      <c r="FZ288" s="642"/>
      <c r="GA288" s="642"/>
      <c r="GB288" s="642"/>
      <c r="GC288" s="642"/>
      <c r="GD288" s="642"/>
      <c r="GE288" s="642"/>
      <c r="GF288" s="642"/>
      <c r="GG288" s="642"/>
      <c r="GH288" s="642"/>
      <c r="GI288" s="642"/>
      <c r="GJ288" s="642"/>
      <c r="GK288" s="642"/>
      <c r="GL288" s="642"/>
      <c r="GM288" s="642"/>
      <c r="GN288" s="642"/>
      <c r="GO288" s="642"/>
      <c r="GP288" s="642"/>
      <c r="GQ288" s="642"/>
      <c r="GR288" s="642"/>
      <c r="GS288" s="642"/>
      <c r="GT288" s="642"/>
      <c r="GU288" s="642"/>
      <c r="GV288" s="642"/>
      <c r="GW288" s="642"/>
      <c r="GX288" s="642"/>
      <c r="GY288" s="642"/>
      <c r="GZ288" s="642"/>
      <c r="HA288" s="642"/>
      <c r="HB288" s="642"/>
      <c r="HC288" s="642"/>
      <c r="HD288" s="642"/>
      <c r="HE288" s="642"/>
      <c r="HF288" s="642"/>
      <c r="HG288" s="642"/>
      <c r="HH288" s="642"/>
      <c r="HI288" s="642"/>
      <c r="HJ288" s="642"/>
      <c r="HK288" s="642"/>
      <c r="HL288" s="642"/>
      <c r="HM288" s="642"/>
      <c r="HN288" s="642"/>
      <c r="HO288" s="642"/>
      <c r="HP288" s="642"/>
      <c r="HQ288" s="642"/>
      <c r="HR288" s="642"/>
      <c r="HS288" s="642"/>
      <c r="HT288" s="642"/>
      <c r="HU288" s="642"/>
      <c r="HV288" s="642"/>
      <c r="HW288" s="642"/>
      <c r="HX288" s="642"/>
      <c r="HY288" s="642"/>
      <c r="HZ288" s="642"/>
      <c r="IA288" s="642"/>
      <c r="IB288" s="642"/>
      <c r="IC288" s="642"/>
      <c r="ID288" s="642"/>
      <c r="IE288" s="642"/>
      <c r="IF288" s="642"/>
      <c r="IG288" s="642"/>
      <c r="IH288" s="642"/>
      <c r="II288" s="642"/>
      <c r="IJ288" s="642"/>
      <c r="IK288" s="642"/>
      <c r="IL288" s="642"/>
      <c r="IM288" s="642"/>
      <c r="IN288" s="642"/>
      <c r="IO288" s="642"/>
    </row>
    <row r="289" spans="1:249" ht="20.25" customHeight="1" x14ac:dyDescent="0.25">
      <c r="A289" s="150" t="s">
        <v>604</v>
      </c>
      <c r="B289" s="463" t="s">
        <v>386</v>
      </c>
      <c r="C289" s="665">
        <v>100</v>
      </c>
      <c r="D289" s="602">
        <v>100</v>
      </c>
      <c r="E289" s="356">
        <f>D289/C289*100</f>
        <v>100</v>
      </c>
      <c r="F289" s="556"/>
      <c r="G289" s="642"/>
      <c r="H289" s="642"/>
      <c r="I289" s="642"/>
      <c r="J289" s="642"/>
      <c r="K289" s="642"/>
      <c r="L289" s="642"/>
      <c r="M289" s="642"/>
      <c r="N289" s="642"/>
      <c r="O289" s="642"/>
      <c r="P289" s="642"/>
      <c r="Q289" s="642"/>
      <c r="R289" s="642"/>
      <c r="S289" s="642"/>
      <c r="T289" s="642"/>
      <c r="U289" s="642"/>
      <c r="V289" s="642"/>
      <c r="W289" s="642"/>
      <c r="X289" s="642"/>
      <c r="Y289" s="642"/>
      <c r="Z289" s="642"/>
      <c r="AA289" s="642"/>
      <c r="AB289" s="642"/>
      <c r="AC289" s="642"/>
      <c r="AD289" s="642"/>
      <c r="AE289" s="642"/>
      <c r="AF289" s="642"/>
      <c r="AG289" s="642"/>
      <c r="AH289" s="642"/>
      <c r="AI289" s="642"/>
      <c r="AJ289" s="642"/>
      <c r="AK289" s="642"/>
      <c r="AL289" s="642"/>
      <c r="AM289" s="642"/>
      <c r="AN289" s="642"/>
      <c r="AO289" s="642"/>
      <c r="AP289" s="642"/>
      <c r="AQ289" s="642"/>
      <c r="AR289" s="642"/>
      <c r="AS289" s="642"/>
      <c r="AT289" s="642"/>
      <c r="AU289" s="642"/>
      <c r="AV289" s="642"/>
      <c r="AW289" s="642"/>
      <c r="AX289" s="642"/>
      <c r="AY289" s="642"/>
      <c r="AZ289" s="642"/>
      <c r="BA289" s="642"/>
      <c r="BB289" s="642"/>
      <c r="BC289" s="642"/>
      <c r="BD289" s="642"/>
      <c r="BE289" s="642"/>
      <c r="BF289" s="642"/>
      <c r="BG289" s="642"/>
      <c r="BH289" s="642"/>
      <c r="BI289" s="642"/>
      <c r="BJ289" s="642"/>
      <c r="BK289" s="642"/>
      <c r="BL289" s="642"/>
      <c r="BM289" s="642"/>
      <c r="BN289" s="642"/>
      <c r="BO289" s="642"/>
      <c r="BP289" s="642"/>
      <c r="BQ289" s="642"/>
      <c r="BR289" s="642"/>
      <c r="BS289" s="642"/>
      <c r="BT289" s="642"/>
      <c r="BU289" s="642"/>
      <c r="BV289" s="642"/>
      <c r="BW289" s="642"/>
      <c r="BX289" s="642"/>
      <c r="BY289" s="642"/>
      <c r="BZ289" s="642"/>
      <c r="CA289" s="642"/>
      <c r="CB289" s="642"/>
      <c r="CC289" s="642"/>
      <c r="CD289" s="642"/>
      <c r="CE289" s="642"/>
      <c r="CF289" s="642"/>
      <c r="CG289" s="642"/>
      <c r="CH289" s="642"/>
      <c r="CI289" s="642"/>
      <c r="CJ289" s="642"/>
      <c r="CK289" s="642"/>
      <c r="CL289" s="642"/>
      <c r="CM289" s="642"/>
      <c r="CN289" s="642"/>
      <c r="CO289" s="642"/>
      <c r="CP289" s="642"/>
      <c r="CQ289" s="642"/>
      <c r="CR289" s="642"/>
      <c r="CS289" s="642"/>
      <c r="CT289" s="642"/>
      <c r="CU289" s="642"/>
      <c r="CV289" s="642"/>
      <c r="CW289" s="642"/>
      <c r="CX289" s="642"/>
      <c r="CY289" s="642"/>
      <c r="CZ289" s="642"/>
      <c r="DA289" s="642"/>
      <c r="DB289" s="642"/>
      <c r="DC289" s="642"/>
      <c r="DD289" s="642"/>
      <c r="DE289" s="642"/>
      <c r="DF289" s="642"/>
      <c r="DG289" s="642"/>
      <c r="DH289" s="642"/>
      <c r="DI289" s="642"/>
      <c r="DJ289" s="642"/>
      <c r="DK289" s="642"/>
      <c r="DL289" s="642"/>
      <c r="DM289" s="642"/>
      <c r="DN289" s="642"/>
      <c r="DO289" s="642"/>
      <c r="DP289" s="642"/>
      <c r="DQ289" s="642"/>
      <c r="DR289" s="642"/>
      <c r="DS289" s="642"/>
      <c r="DT289" s="642"/>
      <c r="DU289" s="642"/>
      <c r="DV289" s="642"/>
      <c r="DW289" s="642"/>
      <c r="DX289" s="642"/>
      <c r="DY289" s="642"/>
      <c r="DZ289" s="642"/>
      <c r="EA289" s="642"/>
      <c r="EB289" s="642"/>
      <c r="EC289" s="642"/>
      <c r="ED289" s="642"/>
      <c r="EE289" s="642"/>
      <c r="EF289" s="642"/>
      <c r="EG289" s="642"/>
      <c r="EH289" s="642"/>
      <c r="EI289" s="642"/>
      <c r="EJ289" s="642"/>
      <c r="EK289" s="642"/>
      <c r="EL289" s="642"/>
      <c r="EM289" s="642"/>
      <c r="EN289" s="642"/>
      <c r="EO289" s="642"/>
      <c r="EP289" s="642"/>
      <c r="EQ289" s="642"/>
      <c r="ER289" s="642"/>
      <c r="ES289" s="642"/>
      <c r="ET289" s="642"/>
      <c r="EU289" s="642"/>
      <c r="EV289" s="642"/>
      <c r="EW289" s="642"/>
      <c r="EX289" s="642"/>
      <c r="EY289" s="642"/>
      <c r="EZ289" s="642"/>
      <c r="FA289" s="642"/>
      <c r="FB289" s="642"/>
      <c r="FC289" s="642"/>
      <c r="FD289" s="642"/>
      <c r="FE289" s="642"/>
      <c r="FF289" s="642"/>
      <c r="FG289" s="642"/>
      <c r="FH289" s="642"/>
      <c r="FI289" s="642"/>
      <c r="FJ289" s="642"/>
      <c r="FK289" s="642"/>
      <c r="FL289" s="642"/>
      <c r="FM289" s="642"/>
      <c r="FN289" s="642"/>
      <c r="FO289" s="642"/>
      <c r="FP289" s="642"/>
      <c r="FQ289" s="642"/>
      <c r="FR289" s="642"/>
      <c r="FS289" s="642"/>
      <c r="FT289" s="642"/>
      <c r="FU289" s="642"/>
      <c r="FV289" s="642"/>
      <c r="FW289" s="642"/>
      <c r="FX289" s="642"/>
      <c r="FY289" s="642"/>
      <c r="FZ289" s="642"/>
      <c r="GA289" s="642"/>
      <c r="GB289" s="642"/>
      <c r="GC289" s="642"/>
      <c r="GD289" s="642"/>
      <c r="GE289" s="642"/>
      <c r="GF289" s="642"/>
      <c r="GG289" s="642"/>
      <c r="GH289" s="642"/>
      <c r="GI289" s="642"/>
      <c r="GJ289" s="642"/>
      <c r="GK289" s="642"/>
      <c r="GL289" s="642"/>
      <c r="GM289" s="642"/>
      <c r="GN289" s="642"/>
      <c r="GO289" s="642"/>
      <c r="GP289" s="642"/>
      <c r="GQ289" s="642"/>
      <c r="GR289" s="642"/>
      <c r="GS289" s="642"/>
      <c r="GT289" s="642"/>
      <c r="GU289" s="642"/>
      <c r="GV289" s="642"/>
      <c r="GW289" s="642"/>
      <c r="GX289" s="642"/>
      <c r="GY289" s="642"/>
      <c r="GZ289" s="642"/>
      <c r="HA289" s="642"/>
      <c r="HB289" s="642"/>
      <c r="HC289" s="642"/>
      <c r="HD289" s="642"/>
      <c r="HE289" s="642"/>
      <c r="HF289" s="642"/>
      <c r="HG289" s="642"/>
      <c r="HH289" s="642"/>
      <c r="HI289" s="642"/>
      <c r="HJ289" s="642"/>
      <c r="HK289" s="642"/>
      <c r="HL289" s="642"/>
      <c r="HM289" s="642"/>
      <c r="HN289" s="642"/>
      <c r="HO289" s="642"/>
      <c r="HP289" s="642"/>
      <c r="HQ289" s="642"/>
      <c r="HR289" s="642"/>
      <c r="HS289" s="642"/>
      <c r="HT289" s="642"/>
      <c r="HU289" s="642"/>
      <c r="HV289" s="642"/>
      <c r="HW289" s="642"/>
      <c r="HX289" s="642"/>
      <c r="HY289" s="642"/>
      <c r="HZ289" s="642"/>
      <c r="IA289" s="642"/>
      <c r="IB289" s="642"/>
      <c r="IC289" s="642"/>
      <c r="ID289" s="642"/>
      <c r="IE289" s="642"/>
      <c r="IF289" s="642"/>
      <c r="IG289" s="642"/>
      <c r="IH289" s="642"/>
      <c r="II289" s="642"/>
      <c r="IJ289" s="642"/>
      <c r="IK289" s="642"/>
      <c r="IL289" s="642"/>
      <c r="IM289" s="642"/>
      <c r="IN289" s="642"/>
      <c r="IO289" s="642"/>
    </row>
    <row r="290" spans="1:249" ht="31.5" x14ac:dyDescent="0.25">
      <c r="A290" s="667" t="s">
        <v>605</v>
      </c>
      <c r="B290" s="463" t="s">
        <v>386</v>
      </c>
      <c r="C290" s="665">
        <v>100</v>
      </c>
      <c r="D290" s="602">
        <v>100</v>
      </c>
      <c r="E290" s="356">
        <f>D290/C290*100</f>
        <v>100</v>
      </c>
      <c r="F290" s="556"/>
      <c r="G290" s="642"/>
      <c r="H290" s="642"/>
      <c r="I290" s="642"/>
      <c r="J290" s="642"/>
      <c r="K290" s="642"/>
      <c r="L290" s="642"/>
      <c r="M290" s="642"/>
      <c r="N290" s="642"/>
      <c r="O290" s="642"/>
      <c r="P290" s="642"/>
      <c r="Q290" s="642"/>
      <c r="R290" s="642"/>
      <c r="S290" s="642"/>
      <c r="T290" s="642"/>
      <c r="U290" s="642"/>
      <c r="V290" s="642"/>
      <c r="W290" s="642"/>
      <c r="X290" s="642"/>
      <c r="Y290" s="642"/>
      <c r="Z290" s="642"/>
      <c r="AA290" s="642"/>
      <c r="AB290" s="642"/>
      <c r="AC290" s="642"/>
      <c r="AD290" s="642"/>
      <c r="AE290" s="642"/>
      <c r="AF290" s="642"/>
      <c r="AG290" s="642"/>
      <c r="AH290" s="642"/>
      <c r="AI290" s="642"/>
      <c r="AJ290" s="642"/>
      <c r="AK290" s="642"/>
      <c r="AL290" s="642"/>
      <c r="AM290" s="642"/>
      <c r="AN290" s="642"/>
      <c r="AO290" s="642"/>
      <c r="AP290" s="642"/>
      <c r="AQ290" s="642"/>
      <c r="AR290" s="642"/>
      <c r="AS290" s="642"/>
      <c r="AT290" s="642"/>
      <c r="AU290" s="642"/>
      <c r="AV290" s="642"/>
      <c r="AW290" s="642"/>
      <c r="AX290" s="642"/>
      <c r="AY290" s="642"/>
      <c r="AZ290" s="642"/>
      <c r="BA290" s="642"/>
      <c r="BB290" s="642"/>
      <c r="BC290" s="642"/>
      <c r="BD290" s="642"/>
      <c r="BE290" s="642"/>
      <c r="BF290" s="642"/>
      <c r="BG290" s="642"/>
      <c r="BH290" s="642"/>
      <c r="BI290" s="642"/>
      <c r="BJ290" s="642"/>
      <c r="BK290" s="642"/>
      <c r="BL290" s="642"/>
      <c r="BM290" s="642"/>
      <c r="BN290" s="642"/>
      <c r="BO290" s="642"/>
      <c r="BP290" s="642"/>
      <c r="BQ290" s="642"/>
      <c r="BR290" s="642"/>
      <c r="BS290" s="642"/>
      <c r="BT290" s="642"/>
      <c r="BU290" s="642"/>
      <c r="BV290" s="642"/>
      <c r="BW290" s="642"/>
      <c r="BX290" s="642"/>
      <c r="BY290" s="642"/>
      <c r="BZ290" s="642"/>
      <c r="CA290" s="642"/>
      <c r="CB290" s="642"/>
      <c r="CC290" s="642"/>
      <c r="CD290" s="642"/>
      <c r="CE290" s="642"/>
      <c r="CF290" s="642"/>
      <c r="CG290" s="642"/>
      <c r="CH290" s="642"/>
      <c r="CI290" s="642"/>
      <c r="CJ290" s="642"/>
      <c r="CK290" s="642"/>
      <c r="CL290" s="642"/>
      <c r="CM290" s="642"/>
      <c r="CN290" s="642"/>
      <c r="CO290" s="642"/>
      <c r="CP290" s="642"/>
      <c r="CQ290" s="642"/>
      <c r="CR290" s="642"/>
      <c r="CS290" s="642"/>
      <c r="CT290" s="642"/>
      <c r="CU290" s="642"/>
      <c r="CV290" s="642"/>
      <c r="CW290" s="642"/>
      <c r="CX290" s="642"/>
      <c r="CY290" s="642"/>
      <c r="CZ290" s="642"/>
      <c r="DA290" s="642"/>
      <c r="DB290" s="642"/>
      <c r="DC290" s="642"/>
      <c r="DD290" s="642"/>
      <c r="DE290" s="642"/>
      <c r="DF290" s="642"/>
      <c r="DG290" s="642"/>
      <c r="DH290" s="642"/>
      <c r="DI290" s="642"/>
      <c r="DJ290" s="642"/>
      <c r="DK290" s="642"/>
      <c r="DL290" s="642"/>
      <c r="DM290" s="642"/>
      <c r="DN290" s="642"/>
      <c r="DO290" s="642"/>
      <c r="DP290" s="642"/>
      <c r="DQ290" s="642"/>
      <c r="DR290" s="642"/>
      <c r="DS290" s="642"/>
      <c r="DT290" s="642"/>
      <c r="DU290" s="642"/>
      <c r="DV290" s="642"/>
      <c r="DW290" s="642"/>
      <c r="DX290" s="642"/>
      <c r="DY290" s="642"/>
      <c r="DZ290" s="642"/>
      <c r="EA290" s="642"/>
      <c r="EB290" s="642"/>
      <c r="EC290" s="642"/>
      <c r="ED290" s="642"/>
      <c r="EE290" s="642"/>
      <c r="EF290" s="642"/>
      <c r="EG290" s="642"/>
      <c r="EH290" s="642"/>
      <c r="EI290" s="642"/>
      <c r="EJ290" s="642"/>
      <c r="EK290" s="642"/>
      <c r="EL290" s="642"/>
      <c r="EM290" s="642"/>
      <c r="EN290" s="642"/>
      <c r="EO290" s="642"/>
      <c r="EP290" s="642"/>
      <c r="EQ290" s="642"/>
      <c r="ER290" s="642"/>
      <c r="ES290" s="642"/>
      <c r="ET290" s="642"/>
      <c r="EU290" s="642"/>
      <c r="EV290" s="642"/>
      <c r="EW290" s="642"/>
      <c r="EX290" s="642"/>
      <c r="EY290" s="642"/>
      <c r="EZ290" s="642"/>
      <c r="FA290" s="642"/>
      <c r="FB290" s="642"/>
      <c r="FC290" s="642"/>
      <c r="FD290" s="642"/>
      <c r="FE290" s="642"/>
      <c r="FF290" s="642"/>
      <c r="FG290" s="642"/>
      <c r="FH290" s="642"/>
      <c r="FI290" s="642"/>
      <c r="FJ290" s="642"/>
      <c r="FK290" s="642"/>
      <c r="FL290" s="642"/>
      <c r="FM290" s="642"/>
      <c r="FN290" s="642"/>
      <c r="FO290" s="642"/>
      <c r="FP290" s="642"/>
      <c r="FQ290" s="642"/>
      <c r="FR290" s="642"/>
      <c r="FS290" s="642"/>
      <c r="FT290" s="642"/>
      <c r="FU290" s="642"/>
      <c r="FV290" s="642"/>
      <c r="FW290" s="642"/>
      <c r="FX290" s="642"/>
      <c r="FY290" s="642"/>
      <c r="FZ290" s="642"/>
      <c r="GA290" s="642"/>
      <c r="GB290" s="642"/>
      <c r="GC290" s="642"/>
      <c r="GD290" s="642"/>
      <c r="GE290" s="642"/>
      <c r="GF290" s="642"/>
      <c r="GG290" s="642"/>
      <c r="GH290" s="642"/>
      <c r="GI290" s="642"/>
      <c r="GJ290" s="642"/>
      <c r="GK290" s="642"/>
      <c r="GL290" s="642"/>
      <c r="GM290" s="642"/>
      <c r="GN290" s="642"/>
      <c r="GO290" s="642"/>
      <c r="GP290" s="642"/>
      <c r="GQ290" s="642"/>
      <c r="GR290" s="642"/>
      <c r="GS290" s="642"/>
      <c r="GT290" s="642"/>
      <c r="GU290" s="642"/>
      <c r="GV290" s="642"/>
      <c r="GW290" s="642"/>
      <c r="GX290" s="642"/>
      <c r="GY290" s="642"/>
      <c r="GZ290" s="642"/>
      <c r="HA290" s="642"/>
      <c r="HB290" s="642"/>
      <c r="HC290" s="642"/>
      <c r="HD290" s="642"/>
      <c r="HE290" s="642"/>
      <c r="HF290" s="642"/>
      <c r="HG290" s="642"/>
      <c r="HH290" s="642"/>
      <c r="HI290" s="642"/>
      <c r="HJ290" s="642"/>
      <c r="HK290" s="642"/>
      <c r="HL290" s="642"/>
      <c r="HM290" s="642"/>
      <c r="HN290" s="642"/>
      <c r="HO290" s="642"/>
      <c r="HP290" s="642"/>
      <c r="HQ290" s="642"/>
      <c r="HR290" s="642"/>
      <c r="HS290" s="642"/>
      <c r="HT290" s="642"/>
      <c r="HU290" s="642"/>
      <c r="HV290" s="642"/>
      <c r="HW290" s="642"/>
      <c r="HX290" s="642"/>
      <c r="HY290" s="642"/>
      <c r="HZ290" s="642"/>
      <c r="IA290" s="642"/>
      <c r="IB290" s="642"/>
      <c r="IC290" s="642"/>
      <c r="ID290" s="642"/>
      <c r="IE290" s="642"/>
      <c r="IF290" s="642"/>
      <c r="IG290" s="642"/>
      <c r="IH290" s="642"/>
      <c r="II290" s="642"/>
      <c r="IJ290" s="642"/>
      <c r="IK290" s="642"/>
      <c r="IL290" s="642"/>
      <c r="IM290" s="642"/>
      <c r="IN290" s="642"/>
      <c r="IO290" s="642"/>
    </row>
    <row r="291" spans="1:249" x14ac:dyDescent="0.25">
      <c r="A291" s="792" t="s">
        <v>337</v>
      </c>
      <c r="B291" s="793"/>
      <c r="C291" s="793"/>
      <c r="D291" s="793"/>
      <c r="E291" s="794"/>
      <c r="F291" s="556"/>
      <c r="G291" s="642"/>
      <c r="H291" s="642"/>
      <c r="I291" s="642"/>
      <c r="J291" s="642"/>
      <c r="K291" s="642"/>
      <c r="L291" s="642"/>
      <c r="M291" s="642"/>
      <c r="N291" s="642"/>
      <c r="O291" s="642"/>
      <c r="P291" s="642"/>
      <c r="Q291" s="642"/>
      <c r="R291" s="642"/>
      <c r="S291" s="642"/>
      <c r="T291" s="642"/>
      <c r="U291" s="642"/>
      <c r="V291" s="642"/>
      <c r="W291" s="642"/>
      <c r="X291" s="642"/>
      <c r="Y291" s="642"/>
      <c r="Z291" s="642"/>
      <c r="AA291" s="642"/>
      <c r="AB291" s="642"/>
      <c r="AC291" s="642"/>
      <c r="AD291" s="642"/>
      <c r="AE291" s="642"/>
      <c r="AF291" s="642"/>
      <c r="AG291" s="642"/>
      <c r="AH291" s="642"/>
      <c r="AI291" s="642"/>
      <c r="AJ291" s="642"/>
      <c r="AK291" s="642"/>
      <c r="AL291" s="642"/>
      <c r="AM291" s="642"/>
      <c r="AN291" s="642"/>
      <c r="AO291" s="642"/>
      <c r="AP291" s="642"/>
      <c r="AQ291" s="642"/>
      <c r="AR291" s="642"/>
      <c r="AS291" s="642"/>
      <c r="AT291" s="642"/>
      <c r="AU291" s="642"/>
      <c r="AV291" s="642"/>
      <c r="AW291" s="642"/>
      <c r="AX291" s="642"/>
      <c r="AY291" s="642"/>
      <c r="AZ291" s="642"/>
      <c r="BA291" s="642"/>
      <c r="BB291" s="642"/>
      <c r="BC291" s="642"/>
      <c r="BD291" s="642"/>
      <c r="BE291" s="642"/>
      <c r="BF291" s="642"/>
      <c r="BG291" s="642"/>
      <c r="BH291" s="642"/>
      <c r="BI291" s="642"/>
      <c r="BJ291" s="642"/>
      <c r="BK291" s="642"/>
      <c r="BL291" s="642"/>
      <c r="BM291" s="642"/>
      <c r="BN291" s="642"/>
      <c r="BO291" s="642"/>
      <c r="BP291" s="642"/>
      <c r="BQ291" s="642"/>
      <c r="BR291" s="642"/>
      <c r="BS291" s="642"/>
      <c r="BT291" s="642"/>
      <c r="BU291" s="642"/>
      <c r="BV291" s="642"/>
      <c r="BW291" s="642"/>
      <c r="BX291" s="642"/>
      <c r="BY291" s="642"/>
      <c r="BZ291" s="642"/>
      <c r="CA291" s="642"/>
      <c r="CB291" s="642"/>
      <c r="CC291" s="642"/>
      <c r="CD291" s="642"/>
      <c r="CE291" s="642"/>
      <c r="CF291" s="642"/>
      <c r="CG291" s="642"/>
      <c r="CH291" s="642"/>
      <c r="CI291" s="642"/>
      <c r="CJ291" s="642"/>
      <c r="CK291" s="642"/>
      <c r="CL291" s="642"/>
      <c r="CM291" s="642"/>
      <c r="CN291" s="642"/>
      <c r="CO291" s="642"/>
      <c r="CP291" s="642"/>
      <c r="CQ291" s="642"/>
      <c r="CR291" s="642"/>
      <c r="CS291" s="642"/>
      <c r="CT291" s="642"/>
      <c r="CU291" s="642"/>
      <c r="CV291" s="642"/>
      <c r="CW291" s="642"/>
      <c r="CX291" s="642"/>
      <c r="CY291" s="642"/>
      <c r="CZ291" s="642"/>
      <c r="DA291" s="642"/>
      <c r="DB291" s="642"/>
      <c r="DC291" s="642"/>
      <c r="DD291" s="642"/>
      <c r="DE291" s="642"/>
      <c r="DF291" s="642"/>
      <c r="DG291" s="642"/>
      <c r="DH291" s="642"/>
      <c r="DI291" s="642"/>
      <c r="DJ291" s="642"/>
      <c r="DK291" s="642"/>
      <c r="DL291" s="642"/>
      <c r="DM291" s="642"/>
      <c r="DN291" s="642"/>
      <c r="DO291" s="642"/>
      <c r="DP291" s="642"/>
      <c r="DQ291" s="642"/>
      <c r="DR291" s="642"/>
      <c r="DS291" s="642"/>
      <c r="DT291" s="642"/>
      <c r="DU291" s="642"/>
      <c r="DV291" s="642"/>
      <c r="DW291" s="642"/>
      <c r="DX291" s="642"/>
      <c r="DY291" s="642"/>
      <c r="DZ291" s="642"/>
      <c r="EA291" s="642"/>
      <c r="EB291" s="642"/>
      <c r="EC291" s="642"/>
      <c r="ED291" s="642"/>
      <c r="EE291" s="642"/>
      <c r="EF291" s="642"/>
      <c r="EG291" s="642"/>
      <c r="EH291" s="642"/>
      <c r="EI291" s="642"/>
      <c r="EJ291" s="642"/>
      <c r="EK291" s="642"/>
      <c r="EL291" s="642"/>
      <c r="EM291" s="642"/>
      <c r="EN291" s="642"/>
      <c r="EO291" s="642"/>
      <c r="EP291" s="642"/>
      <c r="EQ291" s="642"/>
      <c r="ER291" s="642"/>
      <c r="ES291" s="642"/>
      <c r="ET291" s="642"/>
      <c r="EU291" s="642"/>
      <c r="EV291" s="642"/>
      <c r="EW291" s="642"/>
      <c r="EX291" s="642"/>
      <c r="EY291" s="642"/>
      <c r="EZ291" s="642"/>
      <c r="FA291" s="642"/>
      <c r="FB291" s="642"/>
      <c r="FC291" s="642"/>
      <c r="FD291" s="642"/>
      <c r="FE291" s="642"/>
      <c r="FF291" s="642"/>
      <c r="FG291" s="642"/>
      <c r="FH291" s="642"/>
      <c r="FI291" s="642"/>
      <c r="FJ291" s="642"/>
      <c r="FK291" s="642"/>
      <c r="FL291" s="642"/>
      <c r="FM291" s="642"/>
      <c r="FN291" s="642"/>
      <c r="FO291" s="642"/>
      <c r="FP291" s="642"/>
      <c r="FQ291" s="642"/>
      <c r="FR291" s="642"/>
      <c r="FS291" s="642"/>
      <c r="FT291" s="642"/>
      <c r="FU291" s="642"/>
      <c r="FV291" s="642"/>
      <c r="FW291" s="642"/>
      <c r="FX291" s="642"/>
      <c r="FY291" s="642"/>
      <c r="FZ291" s="642"/>
      <c r="GA291" s="642"/>
      <c r="GB291" s="642"/>
      <c r="GC291" s="642"/>
      <c r="GD291" s="642"/>
      <c r="GE291" s="642"/>
      <c r="GF291" s="642"/>
      <c r="GG291" s="642"/>
      <c r="GH291" s="642"/>
      <c r="GI291" s="642"/>
      <c r="GJ291" s="642"/>
      <c r="GK291" s="642"/>
      <c r="GL291" s="642"/>
      <c r="GM291" s="642"/>
      <c r="GN291" s="642"/>
      <c r="GO291" s="642"/>
      <c r="GP291" s="642"/>
      <c r="GQ291" s="642"/>
      <c r="GR291" s="642"/>
      <c r="GS291" s="642"/>
      <c r="GT291" s="642"/>
      <c r="GU291" s="642"/>
      <c r="GV291" s="642"/>
      <c r="GW291" s="642"/>
      <c r="GX291" s="642"/>
      <c r="GY291" s="642"/>
      <c r="GZ291" s="642"/>
      <c r="HA291" s="642"/>
      <c r="HB291" s="642"/>
      <c r="HC291" s="642"/>
      <c r="HD291" s="642"/>
      <c r="HE291" s="642"/>
      <c r="HF291" s="642"/>
      <c r="HG291" s="642"/>
      <c r="HH291" s="642"/>
      <c r="HI291" s="642"/>
      <c r="HJ291" s="642"/>
      <c r="HK291" s="642"/>
      <c r="HL291" s="642"/>
      <c r="HM291" s="642"/>
      <c r="HN291" s="642"/>
      <c r="HO291" s="642"/>
      <c r="HP291" s="642"/>
      <c r="HQ291" s="642"/>
      <c r="HR291" s="642"/>
      <c r="HS291" s="642"/>
      <c r="HT291" s="642"/>
      <c r="HU291" s="642"/>
      <c r="HV291" s="642"/>
      <c r="HW291" s="642"/>
      <c r="HX291" s="642"/>
      <c r="HY291" s="642"/>
      <c r="HZ291" s="642"/>
      <c r="IA291" s="642"/>
      <c r="IB291" s="642"/>
      <c r="IC291" s="642"/>
      <c r="ID291" s="642"/>
      <c r="IE291" s="642"/>
      <c r="IF291" s="642"/>
      <c r="IG291" s="642"/>
      <c r="IH291" s="642"/>
      <c r="II291" s="642"/>
      <c r="IJ291" s="642"/>
      <c r="IK291" s="642"/>
      <c r="IL291" s="642"/>
      <c r="IM291" s="642"/>
      <c r="IN291" s="642"/>
      <c r="IO291" s="642"/>
    </row>
    <row r="292" spans="1:249" ht="47.25" x14ac:dyDescent="0.25">
      <c r="A292" s="668" t="s">
        <v>606</v>
      </c>
      <c r="B292" s="463" t="s">
        <v>386</v>
      </c>
      <c r="C292" s="665">
        <v>97</v>
      </c>
      <c r="D292" s="665">
        <v>100</v>
      </c>
      <c r="E292" s="666">
        <v>100</v>
      </c>
      <c r="F292" s="556"/>
      <c r="G292" s="642"/>
      <c r="H292" s="642"/>
      <c r="I292" s="642"/>
      <c r="J292" s="642"/>
      <c r="K292" s="642"/>
      <c r="L292" s="642"/>
      <c r="M292" s="642"/>
      <c r="N292" s="642"/>
      <c r="O292" s="642"/>
      <c r="P292" s="642"/>
      <c r="Q292" s="642"/>
      <c r="R292" s="642"/>
      <c r="S292" s="642"/>
      <c r="T292" s="642"/>
      <c r="U292" s="642"/>
      <c r="V292" s="642"/>
      <c r="W292" s="642"/>
      <c r="X292" s="642"/>
      <c r="Y292" s="642"/>
      <c r="Z292" s="642"/>
      <c r="AA292" s="642"/>
      <c r="AB292" s="642"/>
      <c r="AC292" s="642"/>
      <c r="AD292" s="642"/>
      <c r="AE292" s="642"/>
      <c r="AF292" s="642"/>
      <c r="AG292" s="642"/>
      <c r="AH292" s="642"/>
      <c r="AI292" s="642"/>
      <c r="AJ292" s="642"/>
      <c r="AK292" s="642"/>
      <c r="AL292" s="642"/>
      <c r="AM292" s="642"/>
      <c r="AN292" s="642"/>
      <c r="AO292" s="642"/>
      <c r="AP292" s="642"/>
      <c r="AQ292" s="642"/>
      <c r="AR292" s="642"/>
      <c r="AS292" s="642"/>
      <c r="AT292" s="642"/>
      <c r="AU292" s="642"/>
      <c r="AV292" s="642"/>
      <c r="AW292" s="642"/>
      <c r="AX292" s="642"/>
      <c r="AY292" s="642"/>
      <c r="AZ292" s="642"/>
      <c r="BA292" s="642"/>
      <c r="BB292" s="642"/>
      <c r="BC292" s="642"/>
      <c r="BD292" s="642"/>
      <c r="BE292" s="642"/>
      <c r="BF292" s="642"/>
      <c r="BG292" s="642"/>
      <c r="BH292" s="642"/>
      <c r="BI292" s="642"/>
      <c r="BJ292" s="642"/>
      <c r="BK292" s="642"/>
      <c r="BL292" s="642"/>
      <c r="BM292" s="642"/>
      <c r="BN292" s="642"/>
      <c r="BO292" s="642"/>
      <c r="BP292" s="642"/>
      <c r="BQ292" s="642"/>
      <c r="BR292" s="642"/>
      <c r="BS292" s="642"/>
      <c r="BT292" s="642"/>
      <c r="BU292" s="642"/>
      <c r="BV292" s="642"/>
      <c r="BW292" s="642"/>
      <c r="BX292" s="642"/>
      <c r="BY292" s="642"/>
      <c r="BZ292" s="642"/>
      <c r="CA292" s="642"/>
      <c r="CB292" s="642"/>
      <c r="CC292" s="642"/>
      <c r="CD292" s="642"/>
      <c r="CE292" s="642"/>
      <c r="CF292" s="642"/>
      <c r="CG292" s="642"/>
      <c r="CH292" s="642"/>
      <c r="CI292" s="642"/>
      <c r="CJ292" s="642"/>
      <c r="CK292" s="642"/>
      <c r="CL292" s="642"/>
      <c r="CM292" s="642"/>
      <c r="CN292" s="642"/>
      <c r="CO292" s="642"/>
      <c r="CP292" s="642"/>
      <c r="CQ292" s="642"/>
      <c r="CR292" s="642"/>
      <c r="CS292" s="642"/>
      <c r="CT292" s="642"/>
      <c r="CU292" s="642"/>
      <c r="CV292" s="642"/>
      <c r="CW292" s="642"/>
      <c r="CX292" s="642"/>
      <c r="CY292" s="642"/>
      <c r="CZ292" s="642"/>
      <c r="DA292" s="642"/>
      <c r="DB292" s="642"/>
      <c r="DC292" s="642"/>
      <c r="DD292" s="642"/>
      <c r="DE292" s="642"/>
      <c r="DF292" s="642"/>
      <c r="DG292" s="642"/>
      <c r="DH292" s="642"/>
      <c r="DI292" s="642"/>
      <c r="DJ292" s="642"/>
      <c r="DK292" s="642"/>
      <c r="DL292" s="642"/>
      <c r="DM292" s="642"/>
      <c r="DN292" s="642"/>
      <c r="DO292" s="642"/>
      <c r="DP292" s="642"/>
      <c r="DQ292" s="642"/>
      <c r="DR292" s="642"/>
      <c r="DS292" s="642"/>
      <c r="DT292" s="642"/>
      <c r="DU292" s="642"/>
      <c r="DV292" s="642"/>
      <c r="DW292" s="642"/>
      <c r="DX292" s="642"/>
      <c r="DY292" s="642"/>
      <c r="DZ292" s="642"/>
      <c r="EA292" s="642"/>
      <c r="EB292" s="642"/>
      <c r="EC292" s="642"/>
      <c r="ED292" s="642"/>
      <c r="EE292" s="642"/>
      <c r="EF292" s="642"/>
      <c r="EG292" s="642"/>
      <c r="EH292" s="642"/>
      <c r="EI292" s="642"/>
      <c r="EJ292" s="642"/>
      <c r="EK292" s="642"/>
      <c r="EL292" s="642"/>
      <c r="EM292" s="642"/>
      <c r="EN292" s="642"/>
      <c r="EO292" s="642"/>
      <c r="EP292" s="642"/>
      <c r="EQ292" s="642"/>
      <c r="ER292" s="642"/>
      <c r="ES292" s="642"/>
      <c r="ET292" s="642"/>
      <c r="EU292" s="642"/>
      <c r="EV292" s="642"/>
      <c r="EW292" s="642"/>
      <c r="EX292" s="642"/>
      <c r="EY292" s="642"/>
      <c r="EZ292" s="642"/>
      <c r="FA292" s="642"/>
      <c r="FB292" s="642"/>
      <c r="FC292" s="642"/>
      <c r="FD292" s="642"/>
      <c r="FE292" s="642"/>
      <c r="FF292" s="642"/>
      <c r="FG292" s="642"/>
      <c r="FH292" s="642"/>
      <c r="FI292" s="642"/>
      <c r="FJ292" s="642"/>
      <c r="FK292" s="642"/>
      <c r="FL292" s="642"/>
      <c r="FM292" s="642"/>
      <c r="FN292" s="642"/>
      <c r="FO292" s="642"/>
      <c r="FP292" s="642"/>
      <c r="FQ292" s="642"/>
      <c r="FR292" s="642"/>
      <c r="FS292" s="642"/>
      <c r="FT292" s="642"/>
      <c r="FU292" s="642"/>
      <c r="FV292" s="642"/>
      <c r="FW292" s="642"/>
      <c r="FX292" s="642"/>
      <c r="FY292" s="642"/>
      <c r="FZ292" s="642"/>
      <c r="GA292" s="642"/>
      <c r="GB292" s="642"/>
      <c r="GC292" s="642"/>
      <c r="GD292" s="642"/>
      <c r="GE292" s="642"/>
      <c r="GF292" s="642"/>
      <c r="GG292" s="642"/>
      <c r="GH292" s="642"/>
      <c r="GI292" s="642"/>
      <c r="GJ292" s="642"/>
      <c r="GK292" s="642"/>
      <c r="GL292" s="642"/>
      <c r="GM292" s="642"/>
      <c r="GN292" s="642"/>
      <c r="GO292" s="642"/>
      <c r="GP292" s="642"/>
      <c r="GQ292" s="642"/>
      <c r="GR292" s="642"/>
      <c r="GS292" s="642"/>
      <c r="GT292" s="642"/>
      <c r="GU292" s="642"/>
      <c r="GV292" s="642"/>
      <c r="GW292" s="642"/>
      <c r="GX292" s="642"/>
      <c r="GY292" s="642"/>
      <c r="GZ292" s="642"/>
      <c r="HA292" s="642"/>
      <c r="HB292" s="642"/>
      <c r="HC292" s="642"/>
      <c r="HD292" s="642"/>
      <c r="HE292" s="642"/>
      <c r="HF292" s="642"/>
      <c r="HG292" s="642"/>
      <c r="HH292" s="642"/>
      <c r="HI292" s="642"/>
      <c r="HJ292" s="642"/>
      <c r="HK292" s="642"/>
      <c r="HL292" s="642"/>
      <c r="HM292" s="642"/>
      <c r="HN292" s="642"/>
      <c r="HO292" s="642"/>
      <c r="HP292" s="642"/>
      <c r="HQ292" s="642"/>
      <c r="HR292" s="642"/>
      <c r="HS292" s="642"/>
      <c r="HT292" s="642"/>
      <c r="HU292" s="642"/>
      <c r="HV292" s="642"/>
      <c r="HW292" s="642"/>
      <c r="HX292" s="642"/>
      <c r="HY292" s="642"/>
      <c r="HZ292" s="642"/>
      <c r="IA292" s="642"/>
      <c r="IB292" s="642"/>
      <c r="IC292" s="642"/>
      <c r="ID292" s="642"/>
      <c r="IE292" s="642"/>
      <c r="IF292" s="642"/>
      <c r="IG292" s="642"/>
      <c r="IH292" s="642"/>
      <c r="II292" s="642"/>
      <c r="IJ292" s="642"/>
      <c r="IK292" s="642"/>
      <c r="IL292" s="642"/>
      <c r="IM292" s="642"/>
      <c r="IN292" s="642"/>
      <c r="IO292" s="642"/>
    </row>
    <row r="293" spans="1:249" ht="47.25" x14ac:dyDescent="0.25">
      <c r="A293" s="668" t="s">
        <v>607</v>
      </c>
      <c r="B293" s="463" t="s">
        <v>386</v>
      </c>
      <c r="C293" s="665">
        <v>94</v>
      </c>
      <c r="D293" s="665">
        <v>100</v>
      </c>
      <c r="E293" s="666">
        <v>100</v>
      </c>
      <c r="F293" s="556"/>
      <c r="G293" s="642"/>
      <c r="H293" s="642"/>
      <c r="I293" s="642"/>
      <c r="J293" s="642"/>
      <c r="K293" s="642"/>
      <c r="L293" s="642"/>
      <c r="M293" s="642"/>
      <c r="N293" s="642"/>
      <c r="O293" s="642"/>
      <c r="P293" s="642"/>
      <c r="Q293" s="642"/>
      <c r="R293" s="642"/>
      <c r="S293" s="642"/>
      <c r="T293" s="642"/>
      <c r="U293" s="642"/>
      <c r="V293" s="642"/>
      <c r="W293" s="642"/>
      <c r="X293" s="642"/>
      <c r="Y293" s="642"/>
      <c r="Z293" s="642"/>
      <c r="AA293" s="642"/>
      <c r="AB293" s="642"/>
      <c r="AC293" s="642"/>
      <c r="AD293" s="642"/>
      <c r="AE293" s="642"/>
      <c r="AF293" s="642"/>
      <c r="AG293" s="642"/>
      <c r="AH293" s="642"/>
      <c r="AI293" s="642"/>
      <c r="AJ293" s="642"/>
      <c r="AK293" s="642"/>
      <c r="AL293" s="642"/>
      <c r="AM293" s="642"/>
      <c r="AN293" s="642"/>
      <c r="AO293" s="642"/>
      <c r="AP293" s="642"/>
      <c r="AQ293" s="642"/>
      <c r="AR293" s="642"/>
      <c r="AS293" s="642"/>
      <c r="AT293" s="642"/>
      <c r="AU293" s="642"/>
      <c r="AV293" s="642"/>
      <c r="AW293" s="642"/>
      <c r="AX293" s="642"/>
      <c r="AY293" s="642"/>
      <c r="AZ293" s="642"/>
      <c r="BA293" s="642"/>
      <c r="BB293" s="642"/>
      <c r="BC293" s="642"/>
      <c r="BD293" s="642"/>
      <c r="BE293" s="642"/>
      <c r="BF293" s="642"/>
      <c r="BG293" s="642"/>
      <c r="BH293" s="642"/>
      <c r="BI293" s="642"/>
      <c r="BJ293" s="642"/>
      <c r="BK293" s="642"/>
      <c r="BL293" s="642"/>
      <c r="BM293" s="642"/>
      <c r="BN293" s="642"/>
      <c r="BO293" s="642"/>
      <c r="BP293" s="642"/>
      <c r="BQ293" s="642"/>
      <c r="BR293" s="642"/>
      <c r="BS293" s="642"/>
      <c r="BT293" s="642"/>
      <c r="BU293" s="642"/>
      <c r="BV293" s="642"/>
      <c r="BW293" s="642"/>
      <c r="BX293" s="642"/>
      <c r="BY293" s="642"/>
      <c r="BZ293" s="642"/>
      <c r="CA293" s="642"/>
      <c r="CB293" s="642"/>
      <c r="CC293" s="642"/>
      <c r="CD293" s="642"/>
      <c r="CE293" s="642"/>
      <c r="CF293" s="642"/>
      <c r="CG293" s="642"/>
      <c r="CH293" s="642"/>
      <c r="CI293" s="642"/>
      <c r="CJ293" s="642"/>
      <c r="CK293" s="642"/>
      <c r="CL293" s="642"/>
      <c r="CM293" s="642"/>
      <c r="CN293" s="642"/>
      <c r="CO293" s="642"/>
      <c r="CP293" s="642"/>
      <c r="CQ293" s="642"/>
      <c r="CR293" s="642"/>
      <c r="CS293" s="642"/>
      <c r="CT293" s="642"/>
      <c r="CU293" s="642"/>
      <c r="CV293" s="642"/>
      <c r="CW293" s="642"/>
      <c r="CX293" s="642"/>
      <c r="CY293" s="642"/>
      <c r="CZ293" s="642"/>
      <c r="DA293" s="642"/>
      <c r="DB293" s="642"/>
      <c r="DC293" s="642"/>
      <c r="DD293" s="642"/>
      <c r="DE293" s="642"/>
      <c r="DF293" s="642"/>
      <c r="DG293" s="642"/>
      <c r="DH293" s="642"/>
      <c r="DI293" s="642"/>
      <c r="DJ293" s="642"/>
      <c r="DK293" s="642"/>
      <c r="DL293" s="642"/>
      <c r="DM293" s="642"/>
      <c r="DN293" s="642"/>
      <c r="DO293" s="642"/>
      <c r="DP293" s="642"/>
      <c r="DQ293" s="642"/>
      <c r="DR293" s="642"/>
      <c r="DS293" s="642"/>
      <c r="DT293" s="642"/>
      <c r="DU293" s="642"/>
      <c r="DV293" s="642"/>
      <c r="DW293" s="642"/>
      <c r="DX293" s="642"/>
      <c r="DY293" s="642"/>
      <c r="DZ293" s="642"/>
      <c r="EA293" s="642"/>
      <c r="EB293" s="642"/>
      <c r="EC293" s="642"/>
      <c r="ED293" s="642"/>
      <c r="EE293" s="642"/>
      <c r="EF293" s="642"/>
      <c r="EG293" s="642"/>
      <c r="EH293" s="642"/>
      <c r="EI293" s="642"/>
      <c r="EJ293" s="642"/>
      <c r="EK293" s="642"/>
      <c r="EL293" s="642"/>
      <c r="EM293" s="642"/>
      <c r="EN293" s="642"/>
      <c r="EO293" s="642"/>
      <c r="EP293" s="642"/>
      <c r="EQ293" s="642"/>
      <c r="ER293" s="642"/>
      <c r="ES293" s="642"/>
      <c r="ET293" s="642"/>
      <c r="EU293" s="642"/>
      <c r="EV293" s="642"/>
      <c r="EW293" s="642"/>
      <c r="EX293" s="642"/>
      <c r="EY293" s="642"/>
      <c r="EZ293" s="642"/>
      <c r="FA293" s="642"/>
      <c r="FB293" s="642"/>
      <c r="FC293" s="642"/>
      <c r="FD293" s="642"/>
      <c r="FE293" s="642"/>
      <c r="FF293" s="642"/>
      <c r="FG293" s="642"/>
      <c r="FH293" s="642"/>
      <c r="FI293" s="642"/>
      <c r="FJ293" s="642"/>
      <c r="FK293" s="642"/>
      <c r="FL293" s="642"/>
      <c r="FM293" s="642"/>
      <c r="FN293" s="642"/>
      <c r="FO293" s="642"/>
      <c r="FP293" s="642"/>
      <c r="FQ293" s="642"/>
      <c r="FR293" s="642"/>
      <c r="FS293" s="642"/>
      <c r="FT293" s="642"/>
      <c r="FU293" s="642"/>
      <c r="FV293" s="642"/>
      <c r="FW293" s="642"/>
      <c r="FX293" s="642"/>
      <c r="FY293" s="642"/>
      <c r="FZ293" s="642"/>
      <c r="GA293" s="642"/>
      <c r="GB293" s="642"/>
      <c r="GC293" s="642"/>
      <c r="GD293" s="642"/>
      <c r="GE293" s="642"/>
      <c r="GF293" s="642"/>
      <c r="GG293" s="642"/>
      <c r="GH293" s="642"/>
      <c r="GI293" s="642"/>
      <c r="GJ293" s="642"/>
      <c r="GK293" s="642"/>
      <c r="GL293" s="642"/>
      <c r="GM293" s="642"/>
      <c r="GN293" s="642"/>
      <c r="GO293" s="642"/>
      <c r="GP293" s="642"/>
      <c r="GQ293" s="642"/>
      <c r="GR293" s="642"/>
      <c r="GS293" s="642"/>
      <c r="GT293" s="642"/>
      <c r="GU293" s="642"/>
      <c r="GV293" s="642"/>
      <c r="GW293" s="642"/>
      <c r="GX293" s="642"/>
      <c r="GY293" s="642"/>
      <c r="GZ293" s="642"/>
      <c r="HA293" s="642"/>
      <c r="HB293" s="642"/>
      <c r="HC293" s="642"/>
      <c r="HD293" s="642"/>
      <c r="HE293" s="642"/>
      <c r="HF293" s="642"/>
      <c r="HG293" s="642"/>
      <c r="HH293" s="642"/>
      <c r="HI293" s="642"/>
      <c r="HJ293" s="642"/>
      <c r="HK293" s="642"/>
      <c r="HL293" s="642"/>
      <c r="HM293" s="642"/>
      <c r="HN293" s="642"/>
      <c r="HO293" s="642"/>
      <c r="HP293" s="642"/>
      <c r="HQ293" s="642"/>
      <c r="HR293" s="642"/>
      <c r="HS293" s="642"/>
      <c r="HT293" s="642"/>
      <c r="HU293" s="642"/>
      <c r="HV293" s="642"/>
      <c r="HW293" s="642"/>
      <c r="HX293" s="642"/>
      <c r="HY293" s="642"/>
      <c r="HZ293" s="642"/>
      <c r="IA293" s="642"/>
      <c r="IB293" s="642"/>
      <c r="IC293" s="642"/>
      <c r="ID293" s="642"/>
      <c r="IE293" s="642"/>
      <c r="IF293" s="642"/>
      <c r="IG293" s="642"/>
      <c r="IH293" s="642"/>
      <c r="II293" s="642"/>
      <c r="IJ293" s="642"/>
      <c r="IK293" s="642"/>
      <c r="IL293" s="642"/>
      <c r="IM293" s="642"/>
      <c r="IN293" s="642"/>
      <c r="IO293" s="642"/>
    </row>
    <row r="294" spans="1:249" ht="47.25" x14ac:dyDescent="0.25">
      <c r="A294" s="668" t="s">
        <v>608</v>
      </c>
      <c r="B294" s="463" t="s">
        <v>386</v>
      </c>
      <c r="C294" s="665">
        <v>94</v>
      </c>
      <c r="D294" s="665">
        <v>100</v>
      </c>
      <c r="E294" s="666">
        <v>100</v>
      </c>
      <c r="F294" s="556"/>
      <c r="G294" s="642"/>
      <c r="H294" s="642"/>
      <c r="I294" s="642"/>
      <c r="J294" s="642"/>
      <c r="K294" s="642"/>
      <c r="L294" s="642"/>
      <c r="M294" s="642"/>
      <c r="N294" s="642"/>
      <c r="O294" s="642"/>
      <c r="P294" s="642"/>
      <c r="Q294" s="642"/>
      <c r="R294" s="642"/>
      <c r="S294" s="642"/>
      <c r="T294" s="642"/>
      <c r="U294" s="642"/>
      <c r="V294" s="642"/>
      <c r="W294" s="642"/>
      <c r="X294" s="642"/>
      <c r="Y294" s="642"/>
      <c r="Z294" s="642"/>
      <c r="AA294" s="642"/>
      <c r="AB294" s="642"/>
      <c r="AC294" s="642"/>
      <c r="AD294" s="642"/>
      <c r="AE294" s="642"/>
      <c r="AF294" s="642"/>
      <c r="AG294" s="642"/>
      <c r="AH294" s="642"/>
      <c r="AI294" s="642"/>
      <c r="AJ294" s="642"/>
      <c r="AK294" s="642"/>
      <c r="AL294" s="642"/>
      <c r="AM294" s="642"/>
      <c r="AN294" s="642"/>
      <c r="AO294" s="642"/>
      <c r="AP294" s="642"/>
      <c r="AQ294" s="642"/>
      <c r="AR294" s="642"/>
      <c r="AS294" s="642"/>
      <c r="AT294" s="642"/>
      <c r="AU294" s="642"/>
      <c r="AV294" s="642"/>
      <c r="AW294" s="642"/>
      <c r="AX294" s="642"/>
      <c r="AY294" s="642"/>
      <c r="AZ294" s="642"/>
      <c r="BA294" s="642"/>
      <c r="BB294" s="642"/>
      <c r="BC294" s="642"/>
      <c r="BD294" s="642"/>
      <c r="BE294" s="642"/>
      <c r="BF294" s="642"/>
      <c r="BG294" s="642"/>
      <c r="BH294" s="642"/>
      <c r="BI294" s="642"/>
      <c r="BJ294" s="642"/>
      <c r="BK294" s="642"/>
      <c r="BL294" s="642"/>
      <c r="BM294" s="642"/>
      <c r="BN294" s="642"/>
      <c r="BO294" s="642"/>
      <c r="BP294" s="642"/>
      <c r="BQ294" s="642"/>
      <c r="BR294" s="642"/>
      <c r="BS294" s="642"/>
      <c r="BT294" s="642"/>
      <c r="BU294" s="642"/>
      <c r="BV294" s="642"/>
      <c r="BW294" s="642"/>
      <c r="BX294" s="642"/>
      <c r="BY294" s="642"/>
      <c r="BZ294" s="642"/>
      <c r="CA294" s="642"/>
      <c r="CB294" s="642"/>
      <c r="CC294" s="642"/>
      <c r="CD294" s="642"/>
      <c r="CE294" s="642"/>
      <c r="CF294" s="642"/>
      <c r="CG294" s="642"/>
      <c r="CH294" s="642"/>
      <c r="CI294" s="642"/>
      <c r="CJ294" s="642"/>
      <c r="CK294" s="642"/>
      <c r="CL294" s="642"/>
      <c r="CM294" s="642"/>
      <c r="CN294" s="642"/>
      <c r="CO294" s="642"/>
      <c r="CP294" s="642"/>
      <c r="CQ294" s="642"/>
      <c r="CR294" s="642"/>
      <c r="CS294" s="642"/>
      <c r="CT294" s="642"/>
      <c r="CU294" s="642"/>
      <c r="CV294" s="642"/>
      <c r="CW294" s="642"/>
      <c r="CX294" s="642"/>
      <c r="CY294" s="642"/>
      <c r="CZ294" s="642"/>
      <c r="DA294" s="642"/>
      <c r="DB294" s="642"/>
      <c r="DC294" s="642"/>
      <c r="DD294" s="642"/>
      <c r="DE294" s="642"/>
      <c r="DF294" s="642"/>
      <c r="DG294" s="642"/>
      <c r="DH294" s="642"/>
      <c r="DI294" s="642"/>
      <c r="DJ294" s="642"/>
      <c r="DK294" s="642"/>
      <c r="DL294" s="642"/>
      <c r="DM294" s="642"/>
      <c r="DN294" s="642"/>
      <c r="DO294" s="642"/>
      <c r="DP294" s="642"/>
      <c r="DQ294" s="642"/>
      <c r="DR294" s="642"/>
      <c r="DS294" s="642"/>
      <c r="DT294" s="642"/>
      <c r="DU294" s="642"/>
      <c r="DV294" s="642"/>
      <c r="DW294" s="642"/>
      <c r="DX294" s="642"/>
      <c r="DY294" s="642"/>
      <c r="DZ294" s="642"/>
      <c r="EA294" s="642"/>
      <c r="EB294" s="642"/>
      <c r="EC294" s="642"/>
      <c r="ED294" s="642"/>
      <c r="EE294" s="642"/>
      <c r="EF294" s="642"/>
      <c r="EG294" s="642"/>
      <c r="EH294" s="642"/>
      <c r="EI294" s="642"/>
      <c r="EJ294" s="642"/>
      <c r="EK294" s="642"/>
      <c r="EL294" s="642"/>
      <c r="EM294" s="642"/>
      <c r="EN294" s="642"/>
      <c r="EO294" s="642"/>
      <c r="EP294" s="642"/>
      <c r="EQ294" s="642"/>
      <c r="ER294" s="642"/>
      <c r="ES294" s="642"/>
      <c r="ET294" s="642"/>
      <c r="EU294" s="642"/>
      <c r="EV294" s="642"/>
      <c r="EW294" s="642"/>
      <c r="EX294" s="642"/>
      <c r="EY294" s="642"/>
      <c r="EZ294" s="642"/>
      <c r="FA294" s="642"/>
      <c r="FB294" s="642"/>
      <c r="FC294" s="642"/>
      <c r="FD294" s="642"/>
      <c r="FE294" s="642"/>
      <c r="FF294" s="642"/>
      <c r="FG294" s="642"/>
      <c r="FH294" s="642"/>
      <c r="FI294" s="642"/>
      <c r="FJ294" s="642"/>
      <c r="FK294" s="642"/>
      <c r="FL294" s="642"/>
      <c r="FM294" s="642"/>
      <c r="FN294" s="642"/>
      <c r="FO294" s="642"/>
      <c r="FP294" s="642"/>
      <c r="FQ294" s="642"/>
      <c r="FR294" s="642"/>
      <c r="FS294" s="642"/>
      <c r="FT294" s="642"/>
      <c r="FU294" s="642"/>
      <c r="FV294" s="642"/>
      <c r="FW294" s="642"/>
      <c r="FX294" s="642"/>
      <c r="FY294" s="642"/>
      <c r="FZ294" s="642"/>
      <c r="GA294" s="642"/>
      <c r="GB294" s="642"/>
      <c r="GC294" s="642"/>
      <c r="GD294" s="642"/>
      <c r="GE294" s="642"/>
      <c r="GF294" s="642"/>
      <c r="GG294" s="642"/>
      <c r="GH294" s="642"/>
      <c r="GI294" s="642"/>
      <c r="GJ294" s="642"/>
      <c r="GK294" s="642"/>
      <c r="GL294" s="642"/>
      <c r="GM294" s="642"/>
      <c r="GN294" s="642"/>
      <c r="GO294" s="642"/>
      <c r="GP294" s="642"/>
      <c r="GQ294" s="642"/>
      <c r="GR294" s="642"/>
      <c r="GS294" s="642"/>
      <c r="GT294" s="642"/>
      <c r="GU294" s="642"/>
      <c r="GV294" s="642"/>
      <c r="GW294" s="642"/>
      <c r="GX294" s="642"/>
      <c r="GY294" s="642"/>
      <c r="GZ294" s="642"/>
      <c r="HA294" s="642"/>
      <c r="HB294" s="642"/>
      <c r="HC294" s="642"/>
      <c r="HD294" s="642"/>
      <c r="HE294" s="642"/>
      <c r="HF294" s="642"/>
      <c r="HG294" s="642"/>
      <c r="HH294" s="642"/>
      <c r="HI294" s="642"/>
      <c r="HJ294" s="642"/>
      <c r="HK294" s="642"/>
      <c r="HL294" s="642"/>
      <c r="HM294" s="642"/>
      <c r="HN294" s="642"/>
      <c r="HO294" s="642"/>
      <c r="HP294" s="642"/>
      <c r="HQ294" s="642"/>
      <c r="HR294" s="642"/>
      <c r="HS294" s="642"/>
      <c r="HT294" s="642"/>
      <c r="HU294" s="642"/>
      <c r="HV294" s="642"/>
      <c r="HW294" s="642"/>
      <c r="HX294" s="642"/>
      <c r="HY294" s="642"/>
      <c r="HZ294" s="642"/>
      <c r="IA294" s="642"/>
      <c r="IB294" s="642"/>
      <c r="IC294" s="642"/>
      <c r="ID294" s="642"/>
      <c r="IE294" s="642"/>
      <c r="IF294" s="642"/>
      <c r="IG294" s="642"/>
      <c r="IH294" s="642"/>
      <c r="II294" s="642"/>
      <c r="IJ294" s="642"/>
      <c r="IK294" s="642"/>
      <c r="IL294" s="642"/>
      <c r="IM294" s="642"/>
      <c r="IN294" s="642"/>
      <c r="IO294" s="642"/>
    </row>
    <row r="295" spans="1:249" ht="47.25" x14ac:dyDescent="0.25">
      <c r="A295" s="668" t="s">
        <v>609</v>
      </c>
      <c r="B295" s="463" t="s">
        <v>386</v>
      </c>
      <c r="C295" s="665">
        <v>97</v>
      </c>
      <c r="D295" s="669">
        <v>97.7</v>
      </c>
      <c r="E295" s="666">
        <v>100</v>
      </c>
      <c r="F295" s="556"/>
      <c r="G295" s="642"/>
      <c r="H295" s="642"/>
      <c r="I295" s="642"/>
      <c r="J295" s="642"/>
      <c r="K295" s="642"/>
      <c r="L295" s="642"/>
      <c r="M295" s="642"/>
      <c r="N295" s="642"/>
      <c r="O295" s="642"/>
      <c r="P295" s="642"/>
      <c r="Q295" s="642"/>
      <c r="R295" s="642"/>
      <c r="S295" s="642"/>
      <c r="T295" s="642"/>
      <c r="U295" s="642"/>
      <c r="V295" s="642"/>
      <c r="W295" s="642"/>
      <c r="X295" s="642"/>
      <c r="Y295" s="642"/>
      <c r="Z295" s="642"/>
      <c r="AA295" s="642"/>
      <c r="AB295" s="642"/>
      <c r="AC295" s="642"/>
      <c r="AD295" s="642"/>
      <c r="AE295" s="642"/>
      <c r="AF295" s="642"/>
      <c r="AG295" s="642"/>
      <c r="AH295" s="642"/>
      <c r="AI295" s="642"/>
      <c r="AJ295" s="642"/>
      <c r="AK295" s="642"/>
      <c r="AL295" s="642"/>
      <c r="AM295" s="642"/>
      <c r="AN295" s="642"/>
      <c r="AO295" s="642"/>
      <c r="AP295" s="642"/>
      <c r="AQ295" s="642"/>
      <c r="AR295" s="642"/>
      <c r="AS295" s="642"/>
      <c r="AT295" s="642"/>
      <c r="AU295" s="642"/>
      <c r="AV295" s="642"/>
      <c r="AW295" s="642"/>
      <c r="AX295" s="642"/>
      <c r="AY295" s="642"/>
      <c r="AZ295" s="642"/>
      <c r="BA295" s="642"/>
      <c r="BB295" s="642"/>
      <c r="BC295" s="642"/>
      <c r="BD295" s="642"/>
      <c r="BE295" s="642"/>
      <c r="BF295" s="642"/>
      <c r="BG295" s="642"/>
      <c r="BH295" s="642"/>
      <c r="BI295" s="642"/>
      <c r="BJ295" s="642"/>
      <c r="BK295" s="642"/>
      <c r="BL295" s="642"/>
      <c r="BM295" s="642"/>
      <c r="BN295" s="642"/>
      <c r="BO295" s="642"/>
      <c r="BP295" s="642"/>
      <c r="BQ295" s="642"/>
      <c r="BR295" s="642"/>
      <c r="BS295" s="642"/>
      <c r="BT295" s="642"/>
      <c r="BU295" s="642"/>
      <c r="BV295" s="642"/>
      <c r="BW295" s="642"/>
      <c r="BX295" s="642"/>
      <c r="BY295" s="642"/>
      <c r="BZ295" s="642"/>
      <c r="CA295" s="642"/>
      <c r="CB295" s="642"/>
      <c r="CC295" s="642"/>
      <c r="CD295" s="642"/>
      <c r="CE295" s="642"/>
      <c r="CF295" s="642"/>
      <c r="CG295" s="642"/>
      <c r="CH295" s="642"/>
      <c r="CI295" s="642"/>
      <c r="CJ295" s="642"/>
      <c r="CK295" s="642"/>
      <c r="CL295" s="642"/>
      <c r="CM295" s="642"/>
      <c r="CN295" s="642"/>
      <c r="CO295" s="642"/>
      <c r="CP295" s="642"/>
      <c r="CQ295" s="642"/>
      <c r="CR295" s="642"/>
      <c r="CS295" s="642"/>
      <c r="CT295" s="642"/>
      <c r="CU295" s="642"/>
      <c r="CV295" s="642"/>
      <c r="CW295" s="642"/>
      <c r="CX295" s="642"/>
      <c r="CY295" s="642"/>
      <c r="CZ295" s="642"/>
      <c r="DA295" s="642"/>
      <c r="DB295" s="642"/>
      <c r="DC295" s="642"/>
      <c r="DD295" s="642"/>
      <c r="DE295" s="642"/>
      <c r="DF295" s="642"/>
      <c r="DG295" s="642"/>
      <c r="DH295" s="642"/>
      <c r="DI295" s="642"/>
      <c r="DJ295" s="642"/>
      <c r="DK295" s="642"/>
      <c r="DL295" s="642"/>
      <c r="DM295" s="642"/>
      <c r="DN295" s="642"/>
      <c r="DO295" s="642"/>
      <c r="DP295" s="642"/>
      <c r="DQ295" s="642"/>
      <c r="DR295" s="642"/>
      <c r="DS295" s="642"/>
      <c r="DT295" s="642"/>
      <c r="DU295" s="642"/>
      <c r="DV295" s="642"/>
      <c r="DW295" s="642"/>
      <c r="DX295" s="642"/>
      <c r="DY295" s="642"/>
      <c r="DZ295" s="642"/>
      <c r="EA295" s="642"/>
      <c r="EB295" s="642"/>
      <c r="EC295" s="642"/>
      <c r="ED295" s="642"/>
      <c r="EE295" s="642"/>
      <c r="EF295" s="642"/>
      <c r="EG295" s="642"/>
      <c r="EH295" s="642"/>
      <c r="EI295" s="642"/>
      <c r="EJ295" s="642"/>
      <c r="EK295" s="642"/>
      <c r="EL295" s="642"/>
      <c r="EM295" s="642"/>
      <c r="EN295" s="642"/>
      <c r="EO295" s="642"/>
      <c r="EP295" s="642"/>
      <c r="EQ295" s="642"/>
      <c r="ER295" s="642"/>
      <c r="ES295" s="642"/>
      <c r="ET295" s="642"/>
      <c r="EU295" s="642"/>
      <c r="EV295" s="642"/>
      <c r="EW295" s="642"/>
      <c r="EX295" s="642"/>
      <c r="EY295" s="642"/>
      <c r="EZ295" s="642"/>
      <c r="FA295" s="642"/>
      <c r="FB295" s="642"/>
      <c r="FC295" s="642"/>
      <c r="FD295" s="642"/>
      <c r="FE295" s="642"/>
      <c r="FF295" s="642"/>
      <c r="FG295" s="642"/>
      <c r="FH295" s="642"/>
      <c r="FI295" s="642"/>
      <c r="FJ295" s="642"/>
      <c r="FK295" s="642"/>
      <c r="FL295" s="642"/>
      <c r="FM295" s="642"/>
      <c r="FN295" s="642"/>
      <c r="FO295" s="642"/>
      <c r="FP295" s="642"/>
      <c r="FQ295" s="642"/>
      <c r="FR295" s="642"/>
      <c r="FS295" s="642"/>
      <c r="FT295" s="642"/>
      <c r="FU295" s="642"/>
      <c r="FV295" s="642"/>
      <c r="FW295" s="642"/>
      <c r="FX295" s="642"/>
      <c r="FY295" s="642"/>
      <c r="FZ295" s="642"/>
      <c r="GA295" s="642"/>
      <c r="GB295" s="642"/>
      <c r="GC295" s="642"/>
      <c r="GD295" s="642"/>
      <c r="GE295" s="642"/>
      <c r="GF295" s="642"/>
      <c r="GG295" s="642"/>
      <c r="GH295" s="642"/>
      <c r="GI295" s="642"/>
      <c r="GJ295" s="642"/>
      <c r="GK295" s="642"/>
      <c r="GL295" s="642"/>
      <c r="GM295" s="642"/>
      <c r="GN295" s="642"/>
      <c r="GO295" s="642"/>
      <c r="GP295" s="642"/>
      <c r="GQ295" s="642"/>
      <c r="GR295" s="642"/>
      <c r="GS295" s="642"/>
      <c r="GT295" s="642"/>
      <c r="GU295" s="642"/>
      <c r="GV295" s="642"/>
      <c r="GW295" s="642"/>
      <c r="GX295" s="642"/>
      <c r="GY295" s="642"/>
      <c r="GZ295" s="642"/>
      <c r="HA295" s="642"/>
      <c r="HB295" s="642"/>
      <c r="HC295" s="642"/>
      <c r="HD295" s="642"/>
      <c r="HE295" s="642"/>
      <c r="HF295" s="642"/>
      <c r="HG295" s="642"/>
      <c r="HH295" s="642"/>
      <c r="HI295" s="642"/>
      <c r="HJ295" s="642"/>
      <c r="HK295" s="642"/>
      <c r="HL295" s="642"/>
      <c r="HM295" s="642"/>
      <c r="HN295" s="642"/>
      <c r="HO295" s="642"/>
      <c r="HP295" s="642"/>
      <c r="HQ295" s="642"/>
      <c r="HR295" s="642"/>
      <c r="HS295" s="642"/>
      <c r="HT295" s="642"/>
      <c r="HU295" s="642"/>
      <c r="HV295" s="642"/>
      <c r="HW295" s="642"/>
      <c r="HX295" s="642"/>
      <c r="HY295" s="642"/>
      <c r="HZ295" s="642"/>
      <c r="IA295" s="642"/>
      <c r="IB295" s="642"/>
      <c r="IC295" s="642"/>
      <c r="ID295" s="642"/>
      <c r="IE295" s="642"/>
      <c r="IF295" s="642"/>
      <c r="IG295" s="642"/>
      <c r="IH295" s="642"/>
      <c r="II295" s="642"/>
      <c r="IJ295" s="642"/>
      <c r="IK295" s="642"/>
      <c r="IL295" s="642"/>
      <c r="IM295" s="642"/>
      <c r="IN295" s="642"/>
      <c r="IO295" s="642"/>
    </row>
    <row r="296" spans="1:249" ht="63" x14ac:dyDescent="0.25">
      <c r="A296" s="668" t="s">
        <v>610</v>
      </c>
      <c r="B296" s="463" t="s">
        <v>386</v>
      </c>
      <c r="C296" s="665">
        <v>5</v>
      </c>
      <c r="D296" s="665">
        <v>24</v>
      </c>
      <c r="E296" s="666">
        <v>100</v>
      </c>
      <c r="F296" s="556"/>
      <c r="G296" s="642"/>
      <c r="H296" s="642"/>
      <c r="I296" s="642"/>
      <c r="J296" s="642"/>
      <c r="K296" s="642"/>
      <c r="L296" s="642"/>
      <c r="M296" s="642"/>
      <c r="N296" s="642"/>
      <c r="O296" s="642"/>
      <c r="P296" s="642"/>
      <c r="Q296" s="642"/>
      <c r="R296" s="642"/>
      <c r="S296" s="642"/>
      <c r="T296" s="642"/>
      <c r="U296" s="642"/>
      <c r="V296" s="642"/>
      <c r="W296" s="642"/>
      <c r="X296" s="642"/>
      <c r="Y296" s="642"/>
      <c r="Z296" s="642"/>
      <c r="AA296" s="642"/>
      <c r="AB296" s="642"/>
      <c r="AC296" s="642"/>
      <c r="AD296" s="642"/>
      <c r="AE296" s="642"/>
      <c r="AF296" s="642"/>
      <c r="AG296" s="642"/>
      <c r="AH296" s="642"/>
      <c r="AI296" s="642"/>
      <c r="AJ296" s="642"/>
      <c r="AK296" s="642"/>
      <c r="AL296" s="642"/>
      <c r="AM296" s="642"/>
      <c r="AN296" s="642"/>
      <c r="AO296" s="642"/>
      <c r="AP296" s="642"/>
      <c r="AQ296" s="642"/>
      <c r="AR296" s="642"/>
      <c r="AS296" s="642"/>
      <c r="AT296" s="642"/>
      <c r="AU296" s="642"/>
      <c r="AV296" s="642"/>
      <c r="AW296" s="642"/>
      <c r="AX296" s="642"/>
      <c r="AY296" s="642"/>
      <c r="AZ296" s="642"/>
      <c r="BA296" s="642"/>
      <c r="BB296" s="642"/>
      <c r="BC296" s="642"/>
      <c r="BD296" s="642"/>
      <c r="BE296" s="642"/>
      <c r="BF296" s="642"/>
      <c r="BG296" s="642"/>
      <c r="BH296" s="642"/>
      <c r="BI296" s="642"/>
      <c r="BJ296" s="642"/>
      <c r="BK296" s="642"/>
      <c r="BL296" s="642"/>
      <c r="BM296" s="642"/>
      <c r="BN296" s="642"/>
      <c r="BO296" s="642"/>
      <c r="BP296" s="642"/>
      <c r="BQ296" s="642"/>
      <c r="BR296" s="642"/>
      <c r="BS296" s="642"/>
      <c r="BT296" s="642"/>
      <c r="BU296" s="642"/>
      <c r="BV296" s="642"/>
      <c r="BW296" s="642"/>
      <c r="BX296" s="642"/>
      <c r="BY296" s="642"/>
      <c r="BZ296" s="642"/>
      <c r="CA296" s="642"/>
      <c r="CB296" s="642"/>
      <c r="CC296" s="642"/>
      <c r="CD296" s="642"/>
      <c r="CE296" s="642"/>
      <c r="CF296" s="642"/>
      <c r="CG296" s="642"/>
      <c r="CH296" s="642"/>
      <c r="CI296" s="642"/>
      <c r="CJ296" s="642"/>
      <c r="CK296" s="642"/>
      <c r="CL296" s="642"/>
      <c r="CM296" s="642"/>
      <c r="CN296" s="642"/>
      <c r="CO296" s="642"/>
      <c r="CP296" s="642"/>
      <c r="CQ296" s="642"/>
      <c r="CR296" s="642"/>
      <c r="CS296" s="642"/>
      <c r="CT296" s="642"/>
      <c r="CU296" s="642"/>
      <c r="CV296" s="642"/>
      <c r="CW296" s="642"/>
      <c r="CX296" s="642"/>
      <c r="CY296" s="642"/>
      <c r="CZ296" s="642"/>
      <c r="DA296" s="642"/>
      <c r="DB296" s="642"/>
      <c r="DC296" s="642"/>
      <c r="DD296" s="642"/>
      <c r="DE296" s="642"/>
      <c r="DF296" s="642"/>
      <c r="DG296" s="642"/>
      <c r="DH296" s="642"/>
      <c r="DI296" s="642"/>
      <c r="DJ296" s="642"/>
      <c r="DK296" s="642"/>
      <c r="DL296" s="642"/>
      <c r="DM296" s="642"/>
      <c r="DN296" s="642"/>
      <c r="DO296" s="642"/>
      <c r="DP296" s="642"/>
      <c r="DQ296" s="642"/>
      <c r="DR296" s="642"/>
      <c r="DS296" s="642"/>
      <c r="DT296" s="642"/>
      <c r="DU296" s="642"/>
      <c r="DV296" s="642"/>
      <c r="DW296" s="642"/>
      <c r="DX296" s="642"/>
      <c r="DY296" s="642"/>
      <c r="DZ296" s="642"/>
      <c r="EA296" s="642"/>
      <c r="EB296" s="642"/>
      <c r="EC296" s="642"/>
      <c r="ED296" s="642"/>
      <c r="EE296" s="642"/>
      <c r="EF296" s="642"/>
      <c r="EG296" s="642"/>
      <c r="EH296" s="642"/>
      <c r="EI296" s="642"/>
      <c r="EJ296" s="642"/>
      <c r="EK296" s="642"/>
      <c r="EL296" s="642"/>
      <c r="EM296" s="642"/>
      <c r="EN296" s="642"/>
      <c r="EO296" s="642"/>
      <c r="EP296" s="642"/>
      <c r="EQ296" s="642"/>
      <c r="ER296" s="642"/>
      <c r="ES296" s="642"/>
      <c r="ET296" s="642"/>
      <c r="EU296" s="642"/>
      <c r="EV296" s="642"/>
      <c r="EW296" s="642"/>
      <c r="EX296" s="642"/>
      <c r="EY296" s="642"/>
      <c r="EZ296" s="642"/>
      <c r="FA296" s="642"/>
      <c r="FB296" s="642"/>
      <c r="FC296" s="642"/>
      <c r="FD296" s="642"/>
      <c r="FE296" s="642"/>
      <c r="FF296" s="642"/>
      <c r="FG296" s="642"/>
      <c r="FH296" s="642"/>
      <c r="FI296" s="642"/>
      <c r="FJ296" s="642"/>
      <c r="FK296" s="642"/>
      <c r="FL296" s="642"/>
      <c r="FM296" s="642"/>
      <c r="FN296" s="642"/>
      <c r="FO296" s="642"/>
      <c r="FP296" s="642"/>
      <c r="FQ296" s="642"/>
      <c r="FR296" s="642"/>
      <c r="FS296" s="642"/>
      <c r="FT296" s="642"/>
      <c r="FU296" s="642"/>
      <c r="FV296" s="642"/>
      <c r="FW296" s="642"/>
      <c r="FX296" s="642"/>
      <c r="FY296" s="642"/>
      <c r="FZ296" s="642"/>
      <c r="GA296" s="642"/>
      <c r="GB296" s="642"/>
      <c r="GC296" s="642"/>
      <c r="GD296" s="642"/>
      <c r="GE296" s="642"/>
      <c r="GF296" s="642"/>
      <c r="GG296" s="642"/>
      <c r="GH296" s="642"/>
      <c r="GI296" s="642"/>
      <c r="GJ296" s="642"/>
      <c r="GK296" s="642"/>
      <c r="GL296" s="642"/>
      <c r="GM296" s="642"/>
      <c r="GN296" s="642"/>
      <c r="GO296" s="642"/>
      <c r="GP296" s="642"/>
      <c r="GQ296" s="642"/>
      <c r="GR296" s="642"/>
      <c r="GS296" s="642"/>
      <c r="GT296" s="642"/>
      <c r="GU296" s="642"/>
      <c r="GV296" s="642"/>
      <c r="GW296" s="642"/>
      <c r="GX296" s="642"/>
      <c r="GY296" s="642"/>
      <c r="GZ296" s="642"/>
      <c r="HA296" s="642"/>
      <c r="HB296" s="642"/>
      <c r="HC296" s="642"/>
      <c r="HD296" s="642"/>
      <c r="HE296" s="642"/>
      <c r="HF296" s="642"/>
      <c r="HG296" s="642"/>
      <c r="HH296" s="642"/>
      <c r="HI296" s="642"/>
      <c r="HJ296" s="642"/>
      <c r="HK296" s="642"/>
      <c r="HL296" s="642"/>
      <c r="HM296" s="642"/>
      <c r="HN296" s="642"/>
      <c r="HO296" s="642"/>
      <c r="HP296" s="642"/>
      <c r="HQ296" s="642"/>
      <c r="HR296" s="642"/>
      <c r="HS296" s="642"/>
      <c r="HT296" s="642"/>
      <c r="HU296" s="642"/>
      <c r="HV296" s="642"/>
      <c r="HW296" s="642"/>
      <c r="HX296" s="642"/>
      <c r="HY296" s="642"/>
      <c r="HZ296" s="642"/>
      <c r="IA296" s="642"/>
      <c r="IB296" s="642"/>
      <c r="IC296" s="642"/>
      <c r="ID296" s="642"/>
      <c r="IE296" s="642"/>
      <c r="IF296" s="642"/>
      <c r="IG296" s="642"/>
      <c r="IH296" s="642"/>
      <c r="II296" s="642"/>
      <c r="IJ296" s="642"/>
      <c r="IK296" s="642"/>
      <c r="IL296" s="642"/>
      <c r="IM296" s="642"/>
      <c r="IN296" s="642"/>
      <c r="IO296" s="642"/>
    </row>
    <row r="297" spans="1:249" x14ac:dyDescent="0.25">
      <c r="A297" s="668" t="s">
        <v>611</v>
      </c>
      <c r="B297" s="463" t="s">
        <v>386</v>
      </c>
      <c r="C297" s="665">
        <v>19.5</v>
      </c>
      <c r="D297" s="665">
        <v>19.5</v>
      </c>
      <c r="E297" s="666">
        <f t="shared" ref="E297" si="21">D297/C297*100</f>
        <v>100</v>
      </c>
      <c r="F297" s="556"/>
      <c r="G297" s="642"/>
      <c r="H297" s="642"/>
      <c r="I297" s="642"/>
      <c r="J297" s="642"/>
      <c r="K297" s="642"/>
      <c r="L297" s="642"/>
      <c r="M297" s="642"/>
      <c r="N297" s="642"/>
      <c r="O297" s="642"/>
      <c r="P297" s="642"/>
      <c r="Q297" s="642"/>
      <c r="R297" s="642"/>
      <c r="S297" s="642"/>
      <c r="T297" s="642"/>
      <c r="U297" s="642"/>
      <c r="V297" s="642"/>
      <c r="W297" s="642"/>
      <c r="X297" s="642"/>
      <c r="Y297" s="642"/>
      <c r="Z297" s="642"/>
      <c r="AA297" s="642"/>
      <c r="AB297" s="642"/>
      <c r="AC297" s="642"/>
      <c r="AD297" s="642"/>
      <c r="AE297" s="642"/>
      <c r="AF297" s="642"/>
      <c r="AG297" s="642"/>
      <c r="AH297" s="642"/>
      <c r="AI297" s="642"/>
      <c r="AJ297" s="642"/>
      <c r="AK297" s="642"/>
      <c r="AL297" s="642"/>
      <c r="AM297" s="642"/>
      <c r="AN297" s="642"/>
      <c r="AO297" s="642"/>
      <c r="AP297" s="642"/>
      <c r="AQ297" s="642"/>
      <c r="AR297" s="642"/>
      <c r="AS297" s="642"/>
      <c r="AT297" s="642"/>
      <c r="AU297" s="642"/>
      <c r="AV297" s="642"/>
      <c r="AW297" s="642"/>
      <c r="AX297" s="642"/>
      <c r="AY297" s="642"/>
      <c r="AZ297" s="642"/>
      <c r="BA297" s="642"/>
      <c r="BB297" s="642"/>
      <c r="BC297" s="642"/>
      <c r="BD297" s="642"/>
      <c r="BE297" s="642"/>
      <c r="BF297" s="642"/>
      <c r="BG297" s="642"/>
      <c r="BH297" s="642"/>
      <c r="BI297" s="642"/>
      <c r="BJ297" s="642"/>
      <c r="BK297" s="642"/>
      <c r="BL297" s="642"/>
      <c r="BM297" s="642"/>
      <c r="BN297" s="642"/>
      <c r="BO297" s="642"/>
      <c r="BP297" s="642"/>
      <c r="BQ297" s="642"/>
      <c r="BR297" s="642"/>
      <c r="BS297" s="642"/>
      <c r="BT297" s="642"/>
      <c r="BU297" s="642"/>
      <c r="BV297" s="642"/>
      <c r="BW297" s="642"/>
      <c r="BX297" s="642"/>
      <c r="BY297" s="642"/>
      <c r="BZ297" s="642"/>
      <c r="CA297" s="642"/>
      <c r="CB297" s="642"/>
      <c r="CC297" s="642"/>
      <c r="CD297" s="642"/>
      <c r="CE297" s="642"/>
      <c r="CF297" s="642"/>
      <c r="CG297" s="642"/>
      <c r="CH297" s="642"/>
      <c r="CI297" s="642"/>
      <c r="CJ297" s="642"/>
      <c r="CK297" s="642"/>
      <c r="CL297" s="642"/>
      <c r="CM297" s="642"/>
      <c r="CN297" s="642"/>
      <c r="CO297" s="642"/>
      <c r="CP297" s="642"/>
      <c r="CQ297" s="642"/>
      <c r="CR297" s="642"/>
      <c r="CS297" s="642"/>
      <c r="CT297" s="642"/>
      <c r="CU297" s="642"/>
      <c r="CV297" s="642"/>
      <c r="CW297" s="642"/>
      <c r="CX297" s="642"/>
      <c r="CY297" s="642"/>
      <c r="CZ297" s="642"/>
      <c r="DA297" s="642"/>
      <c r="DB297" s="642"/>
      <c r="DC297" s="642"/>
      <c r="DD297" s="642"/>
      <c r="DE297" s="642"/>
      <c r="DF297" s="642"/>
      <c r="DG297" s="642"/>
      <c r="DH297" s="642"/>
      <c r="DI297" s="642"/>
      <c r="DJ297" s="642"/>
      <c r="DK297" s="642"/>
      <c r="DL297" s="642"/>
      <c r="DM297" s="642"/>
      <c r="DN297" s="642"/>
      <c r="DO297" s="642"/>
      <c r="DP297" s="642"/>
      <c r="DQ297" s="642"/>
      <c r="DR297" s="642"/>
      <c r="DS297" s="642"/>
      <c r="DT297" s="642"/>
      <c r="DU297" s="642"/>
      <c r="DV297" s="642"/>
      <c r="DW297" s="642"/>
      <c r="DX297" s="642"/>
      <c r="DY297" s="642"/>
      <c r="DZ297" s="642"/>
      <c r="EA297" s="642"/>
      <c r="EB297" s="642"/>
      <c r="EC297" s="642"/>
      <c r="ED297" s="642"/>
      <c r="EE297" s="642"/>
      <c r="EF297" s="642"/>
      <c r="EG297" s="642"/>
      <c r="EH297" s="642"/>
      <c r="EI297" s="642"/>
      <c r="EJ297" s="642"/>
      <c r="EK297" s="642"/>
      <c r="EL297" s="642"/>
      <c r="EM297" s="642"/>
      <c r="EN297" s="642"/>
      <c r="EO297" s="642"/>
      <c r="EP297" s="642"/>
      <c r="EQ297" s="642"/>
      <c r="ER297" s="642"/>
      <c r="ES297" s="642"/>
      <c r="ET297" s="642"/>
      <c r="EU297" s="642"/>
      <c r="EV297" s="642"/>
      <c r="EW297" s="642"/>
      <c r="EX297" s="642"/>
      <c r="EY297" s="642"/>
      <c r="EZ297" s="642"/>
      <c r="FA297" s="642"/>
      <c r="FB297" s="642"/>
      <c r="FC297" s="642"/>
      <c r="FD297" s="642"/>
      <c r="FE297" s="642"/>
      <c r="FF297" s="642"/>
      <c r="FG297" s="642"/>
      <c r="FH297" s="642"/>
      <c r="FI297" s="642"/>
      <c r="FJ297" s="642"/>
      <c r="FK297" s="642"/>
      <c r="FL297" s="642"/>
      <c r="FM297" s="642"/>
      <c r="FN297" s="642"/>
      <c r="FO297" s="642"/>
      <c r="FP297" s="642"/>
      <c r="FQ297" s="642"/>
      <c r="FR297" s="642"/>
      <c r="FS297" s="642"/>
      <c r="FT297" s="642"/>
      <c r="FU297" s="642"/>
      <c r="FV297" s="642"/>
      <c r="FW297" s="642"/>
      <c r="FX297" s="642"/>
      <c r="FY297" s="642"/>
      <c r="FZ297" s="642"/>
      <c r="GA297" s="642"/>
      <c r="GB297" s="642"/>
      <c r="GC297" s="642"/>
      <c r="GD297" s="642"/>
      <c r="GE297" s="642"/>
      <c r="GF297" s="642"/>
      <c r="GG297" s="642"/>
      <c r="GH297" s="642"/>
      <c r="GI297" s="642"/>
      <c r="GJ297" s="642"/>
      <c r="GK297" s="642"/>
      <c r="GL297" s="642"/>
      <c r="GM297" s="642"/>
      <c r="GN297" s="642"/>
      <c r="GO297" s="642"/>
      <c r="GP297" s="642"/>
      <c r="GQ297" s="642"/>
      <c r="GR297" s="642"/>
      <c r="GS297" s="642"/>
      <c r="GT297" s="642"/>
      <c r="GU297" s="642"/>
      <c r="GV297" s="642"/>
      <c r="GW297" s="642"/>
      <c r="GX297" s="642"/>
      <c r="GY297" s="642"/>
      <c r="GZ297" s="642"/>
      <c r="HA297" s="642"/>
      <c r="HB297" s="642"/>
      <c r="HC297" s="642"/>
      <c r="HD297" s="642"/>
      <c r="HE297" s="642"/>
      <c r="HF297" s="642"/>
      <c r="HG297" s="642"/>
      <c r="HH297" s="642"/>
      <c r="HI297" s="642"/>
      <c r="HJ297" s="642"/>
      <c r="HK297" s="642"/>
      <c r="HL297" s="642"/>
      <c r="HM297" s="642"/>
      <c r="HN297" s="642"/>
      <c r="HO297" s="642"/>
      <c r="HP297" s="642"/>
      <c r="HQ297" s="642"/>
      <c r="HR297" s="642"/>
      <c r="HS297" s="642"/>
      <c r="HT297" s="642"/>
      <c r="HU297" s="642"/>
      <c r="HV297" s="642"/>
      <c r="HW297" s="642"/>
      <c r="HX297" s="642"/>
      <c r="HY297" s="642"/>
      <c r="HZ297" s="642"/>
      <c r="IA297" s="642"/>
      <c r="IB297" s="642"/>
      <c r="IC297" s="642"/>
      <c r="ID297" s="642"/>
      <c r="IE297" s="642"/>
      <c r="IF297" s="642"/>
      <c r="IG297" s="642"/>
      <c r="IH297" s="642"/>
      <c r="II297" s="642"/>
      <c r="IJ297" s="642"/>
      <c r="IK297" s="642"/>
      <c r="IL297" s="642"/>
      <c r="IM297" s="642"/>
      <c r="IN297" s="642"/>
      <c r="IO297" s="642"/>
    </row>
    <row r="298" spans="1:249" x14ac:dyDescent="0.25">
      <c r="A298" s="775" t="s">
        <v>612</v>
      </c>
      <c r="B298" s="776"/>
      <c r="C298" s="776"/>
      <c r="D298" s="776"/>
      <c r="E298" s="777"/>
      <c r="F298" s="556"/>
      <c r="G298" s="642"/>
      <c r="H298" s="642"/>
      <c r="I298" s="642"/>
      <c r="J298" s="642"/>
      <c r="K298" s="642"/>
      <c r="L298" s="642"/>
      <c r="M298" s="642"/>
      <c r="N298" s="642"/>
      <c r="O298" s="642"/>
      <c r="P298" s="642"/>
      <c r="Q298" s="642"/>
      <c r="R298" s="642"/>
      <c r="S298" s="642"/>
      <c r="T298" s="642"/>
      <c r="U298" s="642"/>
      <c r="V298" s="642"/>
      <c r="W298" s="642"/>
      <c r="X298" s="642"/>
      <c r="Y298" s="642"/>
      <c r="Z298" s="642"/>
      <c r="AA298" s="642"/>
      <c r="AB298" s="642"/>
      <c r="AC298" s="642"/>
      <c r="AD298" s="642"/>
      <c r="AE298" s="642"/>
      <c r="AF298" s="642"/>
      <c r="AG298" s="642"/>
      <c r="AH298" s="642"/>
      <c r="AI298" s="642"/>
      <c r="AJ298" s="642"/>
      <c r="AK298" s="642"/>
      <c r="AL298" s="642"/>
      <c r="AM298" s="642"/>
      <c r="AN298" s="642"/>
      <c r="AO298" s="642"/>
      <c r="AP298" s="642"/>
      <c r="AQ298" s="642"/>
      <c r="AR298" s="642"/>
      <c r="AS298" s="642"/>
      <c r="AT298" s="642"/>
      <c r="AU298" s="642"/>
      <c r="AV298" s="642"/>
      <c r="AW298" s="642"/>
      <c r="AX298" s="642"/>
      <c r="AY298" s="642"/>
      <c r="AZ298" s="642"/>
      <c r="BA298" s="642"/>
      <c r="BB298" s="642"/>
      <c r="BC298" s="642"/>
      <c r="BD298" s="642"/>
      <c r="BE298" s="642"/>
      <c r="BF298" s="642"/>
      <c r="BG298" s="642"/>
      <c r="BH298" s="642"/>
      <c r="BI298" s="642"/>
      <c r="BJ298" s="642"/>
      <c r="BK298" s="642"/>
      <c r="BL298" s="642"/>
      <c r="BM298" s="642"/>
      <c r="BN298" s="642"/>
      <c r="BO298" s="642"/>
      <c r="BP298" s="642"/>
      <c r="BQ298" s="642"/>
      <c r="BR298" s="642"/>
      <c r="BS298" s="642"/>
      <c r="BT298" s="642"/>
      <c r="BU298" s="642"/>
      <c r="BV298" s="642"/>
      <c r="BW298" s="642"/>
      <c r="BX298" s="642"/>
      <c r="BY298" s="642"/>
      <c r="BZ298" s="642"/>
      <c r="CA298" s="642"/>
      <c r="CB298" s="642"/>
      <c r="CC298" s="642"/>
      <c r="CD298" s="642"/>
      <c r="CE298" s="642"/>
      <c r="CF298" s="642"/>
      <c r="CG298" s="642"/>
      <c r="CH298" s="642"/>
      <c r="CI298" s="642"/>
      <c r="CJ298" s="642"/>
      <c r="CK298" s="642"/>
      <c r="CL298" s="642"/>
      <c r="CM298" s="642"/>
      <c r="CN298" s="642"/>
      <c r="CO298" s="642"/>
      <c r="CP298" s="642"/>
      <c r="CQ298" s="642"/>
      <c r="CR298" s="642"/>
      <c r="CS298" s="642"/>
      <c r="CT298" s="642"/>
      <c r="CU298" s="642"/>
      <c r="CV298" s="642"/>
      <c r="CW298" s="642"/>
      <c r="CX298" s="642"/>
      <c r="CY298" s="642"/>
      <c r="CZ298" s="642"/>
      <c r="DA298" s="642"/>
      <c r="DB298" s="642"/>
      <c r="DC298" s="642"/>
      <c r="DD298" s="642"/>
      <c r="DE298" s="642"/>
      <c r="DF298" s="642"/>
      <c r="DG298" s="642"/>
      <c r="DH298" s="642"/>
      <c r="DI298" s="642"/>
      <c r="DJ298" s="642"/>
      <c r="DK298" s="642"/>
      <c r="DL298" s="642"/>
      <c r="DM298" s="642"/>
      <c r="DN298" s="642"/>
      <c r="DO298" s="642"/>
      <c r="DP298" s="642"/>
      <c r="DQ298" s="642"/>
      <c r="DR298" s="642"/>
      <c r="DS298" s="642"/>
      <c r="DT298" s="642"/>
      <c r="DU298" s="642"/>
      <c r="DV298" s="642"/>
      <c r="DW298" s="642"/>
      <c r="DX298" s="642"/>
      <c r="DY298" s="642"/>
      <c r="DZ298" s="642"/>
      <c r="EA298" s="642"/>
      <c r="EB298" s="642"/>
      <c r="EC298" s="642"/>
      <c r="ED298" s="642"/>
      <c r="EE298" s="642"/>
      <c r="EF298" s="642"/>
      <c r="EG298" s="642"/>
      <c r="EH298" s="642"/>
      <c r="EI298" s="642"/>
      <c r="EJ298" s="642"/>
      <c r="EK298" s="642"/>
      <c r="EL298" s="642"/>
      <c r="EM298" s="642"/>
      <c r="EN298" s="642"/>
      <c r="EO298" s="642"/>
      <c r="EP298" s="642"/>
      <c r="EQ298" s="642"/>
      <c r="ER298" s="642"/>
      <c r="ES298" s="642"/>
      <c r="ET298" s="642"/>
      <c r="EU298" s="642"/>
      <c r="EV298" s="642"/>
      <c r="EW298" s="642"/>
      <c r="EX298" s="642"/>
      <c r="EY298" s="642"/>
      <c r="EZ298" s="642"/>
      <c r="FA298" s="642"/>
      <c r="FB298" s="642"/>
      <c r="FC298" s="642"/>
      <c r="FD298" s="642"/>
      <c r="FE298" s="642"/>
      <c r="FF298" s="642"/>
      <c r="FG298" s="642"/>
      <c r="FH298" s="642"/>
      <c r="FI298" s="642"/>
      <c r="FJ298" s="642"/>
      <c r="FK298" s="642"/>
      <c r="FL298" s="642"/>
      <c r="FM298" s="642"/>
      <c r="FN298" s="642"/>
      <c r="FO298" s="642"/>
      <c r="FP298" s="642"/>
      <c r="FQ298" s="642"/>
      <c r="FR298" s="642"/>
      <c r="FS298" s="642"/>
      <c r="FT298" s="642"/>
      <c r="FU298" s="642"/>
      <c r="FV298" s="642"/>
      <c r="FW298" s="642"/>
      <c r="FX298" s="642"/>
      <c r="FY298" s="642"/>
      <c r="FZ298" s="642"/>
      <c r="GA298" s="642"/>
      <c r="GB298" s="642"/>
      <c r="GC298" s="642"/>
      <c r="GD298" s="642"/>
      <c r="GE298" s="642"/>
      <c r="GF298" s="642"/>
      <c r="GG298" s="642"/>
      <c r="GH298" s="642"/>
      <c r="GI298" s="642"/>
      <c r="GJ298" s="642"/>
      <c r="GK298" s="642"/>
      <c r="GL298" s="642"/>
      <c r="GM298" s="642"/>
      <c r="GN298" s="642"/>
      <c r="GO298" s="642"/>
      <c r="GP298" s="642"/>
      <c r="GQ298" s="642"/>
      <c r="GR298" s="642"/>
      <c r="GS298" s="642"/>
      <c r="GT298" s="642"/>
      <c r="GU298" s="642"/>
      <c r="GV298" s="642"/>
      <c r="GW298" s="642"/>
      <c r="GX298" s="642"/>
      <c r="GY298" s="642"/>
      <c r="GZ298" s="642"/>
      <c r="HA298" s="642"/>
      <c r="HB298" s="642"/>
      <c r="HC298" s="642"/>
      <c r="HD298" s="642"/>
      <c r="HE298" s="642"/>
      <c r="HF298" s="642"/>
      <c r="HG298" s="642"/>
      <c r="HH298" s="642"/>
      <c r="HI298" s="642"/>
      <c r="HJ298" s="642"/>
      <c r="HK298" s="642"/>
      <c r="HL298" s="642"/>
      <c r="HM298" s="642"/>
      <c r="HN298" s="642"/>
      <c r="HO298" s="642"/>
      <c r="HP298" s="642"/>
      <c r="HQ298" s="642"/>
      <c r="HR298" s="642"/>
      <c r="HS298" s="642"/>
      <c r="HT298" s="642"/>
      <c r="HU298" s="642"/>
      <c r="HV298" s="642"/>
      <c r="HW298" s="642"/>
      <c r="HX298" s="642"/>
      <c r="HY298" s="642"/>
      <c r="HZ298" s="642"/>
      <c r="IA298" s="642"/>
      <c r="IB298" s="642"/>
      <c r="IC298" s="642"/>
      <c r="ID298" s="642"/>
      <c r="IE298" s="642"/>
      <c r="IF298" s="642"/>
      <c r="IG298" s="642"/>
      <c r="IH298" s="642"/>
      <c r="II298" s="642"/>
      <c r="IJ298" s="642"/>
      <c r="IK298" s="642"/>
      <c r="IL298" s="642"/>
      <c r="IM298" s="642"/>
      <c r="IN298" s="642"/>
      <c r="IO298" s="642"/>
    </row>
    <row r="299" spans="1:249" ht="63" x14ac:dyDescent="0.25">
      <c r="A299" s="668" t="s">
        <v>613</v>
      </c>
      <c r="B299" s="463" t="s">
        <v>386</v>
      </c>
      <c r="C299" s="669">
        <v>97</v>
      </c>
      <c r="D299" s="669">
        <v>97</v>
      </c>
      <c r="E299" s="666">
        <f>D299/C299*100</f>
        <v>100</v>
      </c>
      <c r="F299" s="556"/>
      <c r="G299" s="642"/>
      <c r="H299" s="642"/>
      <c r="I299" s="642"/>
      <c r="J299" s="642"/>
      <c r="K299" s="642"/>
      <c r="L299" s="642"/>
      <c r="M299" s="642"/>
      <c r="N299" s="642"/>
      <c r="O299" s="642"/>
      <c r="P299" s="642"/>
      <c r="Q299" s="642"/>
      <c r="R299" s="642"/>
      <c r="S299" s="642"/>
      <c r="T299" s="642"/>
      <c r="U299" s="642"/>
      <c r="V299" s="642"/>
      <c r="W299" s="642"/>
      <c r="X299" s="642"/>
      <c r="Y299" s="642"/>
      <c r="Z299" s="642"/>
      <c r="AA299" s="642"/>
      <c r="AB299" s="642"/>
      <c r="AC299" s="642"/>
      <c r="AD299" s="642"/>
      <c r="AE299" s="642"/>
      <c r="AF299" s="642"/>
      <c r="AG299" s="642"/>
      <c r="AH299" s="642"/>
      <c r="AI299" s="642"/>
      <c r="AJ299" s="642"/>
      <c r="AK299" s="642"/>
      <c r="AL299" s="642"/>
      <c r="AM299" s="642"/>
      <c r="AN299" s="642"/>
      <c r="AO299" s="642"/>
      <c r="AP299" s="642"/>
      <c r="AQ299" s="642"/>
      <c r="AR299" s="642"/>
      <c r="AS299" s="642"/>
      <c r="AT299" s="642"/>
      <c r="AU299" s="642"/>
      <c r="AV299" s="642"/>
      <c r="AW299" s="642"/>
      <c r="AX299" s="642"/>
      <c r="AY299" s="642"/>
      <c r="AZ299" s="642"/>
      <c r="BA299" s="642"/>
      <c r="BB299" s="642"/>
      <c r="BC299" s="642"/>
      <c r="BD299" s="642"/>
      <c r="BE299" s="642"/>
      <c r="BF299" s="642"/>
      <c r="BG299" s="642"/>
      <c r="BH299" s="642"/>
      <c r="BI299" s="642"/>
      <c r="BJ299" s="642"/>
      <c r="BK299" s="642"/>
      <c r="BL299" s="642"/>
      <c r="BM299" s="642"/>
      <c r="BN299" s="642"/>
      <c r="BO299" s="642"/>
      <c r="BP299" s="642"/>
      <c r="BQ299" s="642"/>
      <c r="BR299" s="642"/>
      <c r="BS299" s="642"/>
      <c r="BT299" s="642"/>
      <c r="BU299" s="642"/>
      <c r="BV299" s="642"/>
      <c r="BW299" s="642"/>
      <c r="BX299" s="642"/>
      <c r="BY299" s="642"/>
      <c r="BZ299" s="642"/>
      <c r="CA299" s="642"/>
      <c r="CB299" s="642"/>
      <c r="CC299" s="642"/>
      <c r="CD299" s="642"/>
      <c r="CE299" s="642"/>
      <c r="CF299" s="642"/>
      <c r="CG299" s="642"/>
      <c r="CH299" s="642"/>
      <c r="CI299" s="642"/>
      <c r="CJ299" s="642"/>
      <c r="CK299" s="642"/>
      <c r="CL299" s="642"/>
      <c r="CM299" s="642"/>
      <c r="CN299" s="642"/>
      <c r="CO299" s="642"/>
      <c r="CP299" s="642"/>
      <c r="CQ299" s="642"/>
      <c r="CR299" s="642"/>
      <c r="CS299" s="642"/>
      <c r="CT299" s="642"/>
      <c r="CU299" s="642"/>
      <c r="CV299" s="642"/>
      <c r="CW299" s="642"/>
      <c r="CX299" s="642"/>
      <c r="CY299" s="642"/>
      <c r="CZ299" s="642"/>
      <c r="DA299" s="642"/>
      <c r="DB299" s="642"/>
      <c r="DC299" s="642"/>
      <c r="DD299" s="642"/>
      <c r="DE299" s="642"/>
      <c r="DF299" s="642"/>
      <c r="DG299" s="642"/>
      <c r="DH299" s="642"/>
      <c r="DI299" s="642"/>
      <c r="DJ299" s="642"/>
      <c r="DK299" s="642"/>
      <c r="DL299" s="642"/>
      <c r="DM299" s="642"/>
      <c r="DN299" s="642"/>
      <c r="DO299" s="642"/>
      <c r="DP299" s="642"/>
      <c r="DQ299" s="642"/>
      <c r="DR299" s="642"/>
      <c r="DS299" s="642"/>
      <c r="DT299" s="642"/>
      <c r="DU299" s="642"/>
      <c r="DV299" s="642"/>
      <c r="DW299" s="642"/>
      <c r="DX299" s="642"/>
      <c r="DY299" s="642"/>
      <c r="DZ299" s="642"/>
      <c r="EA299" s="642"/>
      <c r="EB299" s="642"/>
      <c r="EC299" s="642"/>
      <c r="ED299" s="642"/>
      <c r="EE299" s="642"/>
      <c r="EF299" s="642"/>
      <c r="EG299" s="642"/>
      <c r="EH299" s="642"/>
      <c r="EI299" s="642"/>
      <c r="EJ299" s="642"/>
      <c r="EK299" s="642"/>
      <c r="EL299" s="642"/>
      <c r="EM299" s="642"/>
      <c r="EN299" s="642"/>
      <c r="EO299" s="642"/>
      <c r="EP299" s="642"/>
      <c r="EQ299" s="642"/>
      <c r="ER299" s="642"/>
      <c r="ES299" s="642"/>
      <c r="ET299" s="642"/>
      <c r="EU299" s="642"/>
      <c r="EV299" s="642"/>
      <c r="EW299" s="642"/>
      <c r="EX299" s="642"/>
      <c r="EY299" s="642"/>
      <c r="EZ299" s="642"/>
      <c r="FA299" s="642"/>
      <c r="FB299" s="642"/>
      <c r="FC299" s="642"/>
      <c r="FD299" s="642"/>
      <c r="FE299" s="642"/>
      <c r="FF299" s="642"/>
      <c r="FG299" s="642"/>
      <c r="FH299" s="642"/>
      <c r="FI299" s="642"/>
      <c r="FJ299" s="642"/>
      <c r="FK299" s="642"/>
      <c r="FL299" s="642"/>
      <c r="FM299" s="642"/>
      <c r="FN299" s="642"/>
      <c r="FO299" s="642"/>
      <c r="FP299" s="642"/>
      <c r="FQ299" s="642"/>
      <c r="FR299" s="642"/>
      <c r="FS299" s="642"/>
      <c r="FT299" s="642"/>
      <c r="FU299" s="642"/>
      <c r="FV299" s="642"/>
      <c r="FW299" s="642"/>
      <c r="FX299" s="642"/>
      <c r="FY299" s="642"/>
      <c r="FZ299" s="642"/>
      <c r="GA299" s="642"/>
      <c r="GB299" s="642"/>
      <c r="GC299" s="642"/>
      <c r="GD299" s="642"/>
      <c r="GE299" s="642"/>
      <c r="GF299" s="642"/>
      <c r="GG299" s="642"/>
      <c r="GH299" s="642"/>
      <c r="GI299" s="642"/>
      <c r="GJ299" s="642"/>
      <c r="GK299" s="642"/>
      <c r="GL299" s="642"/>
      <c r="GM299" s="642"/>
      <c r="GN299" s="642"/>
      <c r="GO299" s="642"/>
      <c r="GP299" s="642"/>
      <c r="GQ299" s="642"/>
      <c r="GR299" s="642"/>
      <c r="GS299" s="642"/>
      <c r="GT299" s="642"/>
      <c r="GU299" s="642"/>
      <c r="GV299" s="642"/>
      <c r="GW299" s="642"/>
      <c r="GX299" s="642"/>
      <c r="GY299" s="642"/>
      <c r="GZ299" s="642"/>
      <c r="HA299" s="642"/>
      <c r="HB299" s="642"/>
      <c r="HC299" s="642"/>
      <c r="HD299" s="642"/>
      <c r="HE299" s="642"/>
      <c r="HF299" s="642"/>
      <c r="HG299" s="642"/>
      <c r="HH299" s="642"/>
      <c r="HI299" s="642"/>
      <c r="HJ299" s="642"/>
      <c r="HK299" s="642"/>
      <c r="HL299" s="642"/>
      <c r="HM299" s="642"/>
      <c r="HN299" s="642"/>
      <c r="HO299" s="642"/>
      <c r="HP299" s="642"/>
      <c r="HQ299" s="642"/>
      <c r="HR299" s="642"/>
      <c r="HS299" s="642"/>
      <c r="HT299" s="642"/>
      <c r="HU299" s="642"/>
      <c r="HV299" s="642"/>
      <c r="HW299" s="642"/>
      <c r="HX299" s="642"/>
      <c r="HY299" s="642"/>
      <c r="HZ299" s="642"/>
      <c r="IA299" s="642"/>
      <c r="IB299" s="642"/>
      <c r="IC299" s="642"/>
      <c r="ID299" s="642"/>
      <c r="IE299" s="642"/>
      <c r="IF299" s="642"/>
      <c r="IG299" s="642"/>
      <c r="IH299" s="642"/>
      <c r="II299" s="642"/>
      <c r="IJ299" s="642"/>
      <c r="IK299" s="642"/>
      <c r="IL299" s="642"/>
      <c r="IM299" s="642"/>
      <c r="IN299" s="642"/>
      <c r="IO299" s="642"/>
    </row>
    <row r="300" spans="1:249" ht="19.5" customHeight="1" x14ac:dyDescent="0.25">
      <c r="A300" s="668" t="s">
        <v>614</v>
      </c>
      <c r="B300" s="463" t="s">
        <v>386</v>
      </c>
      <c r="C300" s="669">
        <v>34</v>
      </c>
      <c r="D300" s="669">
        <v>34</v>
      </c>
      <c r="E300" s="666">
        <f>D300/C300*100</f>
        <v>100</v>
      </c>
      <c r="F300" s="556"/>
      <c r="G300" s="642"/>
      <c r="H300" s="642"/>
      <c r="I300" s="642"/>
      <c r="J300" s="642"/>
      <c r="K300" s="642"/>
      <c r="L300" s="642"/>
      <c r="M300" s="642"/>
      <c r="N300" s="642"/>
      <c r="O300" s="642"/>
      <c r="P300" s="642"/>
      <c r="Q300" s="642"/>
      <c r="R300" s="642"/>
      <c r="S300" s="642"/>
      <c r="T300" s="642"/>
      <c r="U300" s="642"/>
      <c r="V300" s="642"/>
      <c r="W300" s="642"/>
      <c r="X300" s="642"/>
      <c r="Y300" s="642"/>
      <c r="Z300" s="642"/>
      <c r="AA300" s="642"/>
      <c r="AB300" s="642"/>
      <c r="AC300" s="642"/>
      <c r="AD300" s="642"/>
      <c r="AE300" s="642"/>
      <c r="AF300" s="642"/>
      <c r="AG300" s="642"/>
      <c r="AH300" s="642"/>
      <c r="AI300" s="642"/>
      <c r="AJ300" s="642"/>
      <c r="AK300" s="642"/>
      <c r="AL300" s="642"/>
      <c r="AM300" s="642"/>
      <c r="AN300" s="642"/>
      <c r="AO300" s="642"/>
      <c r="AP300" s="642"/>
      <c r="AQ300" s="642"/>
      <c r="AR300" s="642"/>
      <c r="AS300" s="642"/>
      <c r="AT300" s="642"/>
      <c r="AU300" s="642"/>
      <c r="AV300" s="642"/>
      <c r="AW300" s="642"/>
      <c r="AX300" s="642"/>
      <c r="AY300" s="642"/>
      <c r="AZ300" s="642"/>
      <c r="BA300" s="642"/>
      <c r="BB300" s="642"/>
      <c r="BC300" s="642"/>
      <c r="BD300" s="642"/>
      <c r="BE300" s="642"/>
      <c r="BF300" s="642"/>
      <c r="BG300" s="642"/>
      <c r="BH300" s="642"/>
      <c r="BI300" s="642"/>
      <c r="BJ300" s="642"/>
      <c r="BK300" s="642"/>
      <c r="BL300" s="642"/>
      <c r="BM300" s="642"/>
      <c r="BN300" s="642"/>
      <c r="BO300" s="642"/>
      <c r="BP300" s="642"/>
      <c r="BQ300" s="642"/>
      <c r="BR300" s="642"/>
      <c r="BS300" s="642"/>
      <c r="BT300" s="642"/>
      <c r="BU300" s="642"/>
      <c r="BV300" s="642"/>
      <c r="BW300" s="642"/>
      <c r="BX300" s="642"/>
      <c r="BY300" s="642"/>
      <c r="BZ300" s="642"/>
      <c r="CA300" s="642"/>
      <c r="CB300" s="642"/>
      <c r="CC300" s="642"/>
      <c r="CD300" s="642"/>
      <c r="CE300" s="642"/>
      <c r="CF300" s="642"/>
      <c r="CG300" s="642"/>
      <c r="CH300" s="642"/>
      <c r="CI300" s="642"/>
      <c r="CJ300" s="642"/>
      <c r="CK300" s="642"/>
      <c r="CL300" s="642"/>
      <c r="CM300" s="642"/>
      <c r="CN300" s="642"/>
      <c r="CO300" s="642"/>
      <c r="CP300" s="642"/>
      <c r="CQ300" s="642"/>
      <c r="CR300" s="642"/>
      <c r="CS300" s="642"/>
      <c r="CT300" s="642"/>
      <c r="CU300" s="642"/>
      <c r="CV300" s="642"/>
      <c r="CW300" s="642"/>
      <c r="CX300" s="642"/>
      <c r="CY300" s="642"/>
      <c r="CZ300" s="642"/>
      <c r="DA300" s="642"/>
      <c r="DB300" s="642"/>
      <c r="DC300" s="642"/>
      <c r="DD300" s="642"/>
      <c r="DE300" s="642"/>
      <c r="DF300" s="642"/>
      <c r="DG300" s="642"/>
      <c r="DH300" s="642"/>
      <c r="DI300" s="642"/>
      <c r="DJ300" s="642"/>
      <c r="DK300" s="642"/>
      <c r="DL300" s="642"/>
      <c r="DM300" s="642"/>
      <c r="DN300" s="642"/>
      <c r="DO300" s="642"/>
      <c r="DP300" s="642"/>
      <c r="DQ300" s="642"/>
      <c r="DR300" s="642"/>
      <c r="DS300" s="642"/>
      <c r="DT300" s="642"/>
      <c r="DU300" s="642"/>
      <c r="DV300" s="642"/>
      <c r="DW300" s="642"/>
      <c r="DX300" s="642"/>
      <c r="DY300" s="642"/>
      <c r="DZ300" s="642"/>
      <c r="EA300" s="642"/>
      <c r="EB300" s="642"/>
      <c r="EC300" s="642"/>
      <c r="ED300" s="642"/>
      <c r="EE300" s="642"/>
      <c r="EF300" s="642"/>
      <c r="EG300" s="642"/>
      <c r="EH300" s="642"/>
      <c r="EI300" s="642"/>
      <c r="EJ300" s="642"/>
      <c r="EK300" s="642"/>
      <c r="EL300" s="642"/>
      <c r="EM300" s="642"/>
      <c r="EN300" s="642"/>
      <c r="EO300" s="642"/>
      <c r="EP300" s="642"/>
      <c r="EQ300" s="642"/>
      <c r="ER300" s="642"/>
      <c r="ES300" s="642"/>
      <c r="ET300" s="642"/>
      <c r="EU300" s="642"/>
      <c r="EV300" s="642"/>
      <c r="EW300" s="642"/>
      <c r="EX300" s="642"/>
      <c r="EY300" s="642"/>
      <c r="EZ300" s="642"/>
      <c r="FA300" s="642"/>
      <c r="FB300" s="642"/>
      <c r="FC300" s="642"/>
      <c r="FD300" s="642"/>
      <c r="FE300" s="642"/>
      <c r="FF300" s="642"/>
      <c r="FG300" s="642"/>
      <c r="FH300" s="642"/>
      <c r="FI300" s="642"/>
      <c r="FJ300" s="642"/>
      <c r="FK300" s="642"/>
      <c r="FL300" s="642"/>
      <c r="FM300" s="642"/>
      <c r="FN300" s="642"/>
      <c r="FO300" s="642"/>
      <c r="FP300" s="642"/>
      <c r="FQ300" s="642"/>
      <c r="FR300" s="642"/>
      <c r="FS300" s="642"/>
      <c r="FT300" s="642"/>
      <c r="FU300" s="642"/>
      <c r="FV300" s="642"/>
      <c r="FW300" s="642"/>
      <c r="FX300" s="642"/>
      <c r="FY300" s="642"/>
      <c r="FZ300" s="642"/>
      <c r="GA300" s="642"/>
      <c r="GB300" s="642"/>
      <c r="GC300" s="642"/>
      <c r="GD300" s="642"/>
      <c r="GE300" s="642"/>
      <c r="GF300" s="642"/>
      <c r="GG300" s="642"/>
      <c r="GH300" s="642"/>
      <c r="GI300" s="642"/>
      <c r="GJ300" s="642"/>
      <c r="GK300" s="642"/>
      <c r="GL300" s="642"/>
      <c r="GM300" s="642"/>
      <c r="GN300" s="642"/>
      <c r="GO300" s="642"/>
      <c r="GP300" s="642"/>
      <c r="GQ300" s="642"/>
      <c r="GR300" s="642"/>
      <c r="GS300" s="642"/>
      <c r="GT300" s="642"/>
      <c r="GU300" s="642"/>
      <c r="GV300" s="642"/>
      <c r="GW300" s="642"/>
      <c r="GX300" s="642"/>
      <c r="GY300" s="642"/>
      <c r="GZ300" s="642"/>
      <c r="HA300" s="642"/>
      <c r="HB300" s="642"/>
      <c r="HC300" s="642"/>
      <c r="HD300" s="642"/>
      <c r="HE300" s="642"/>
      <c r="HF300" s="642"/>
      <c r="HG300" s="642"/>
      <c r="HH300" s="642"/>
      <c r="HI300" s="642"/>
      <c r="HJ300" s="642"/>
      <c r="HK300" s="642"/>
      <c r="HL300" s="642"/>
      <c r="HM300" s="642"/>
      <c r="HN300" s="642"/>
      <c r="HO300" s="642"/>
      <c r="HP300" s="642"/>
      <c r="HQ300" s="642"/>
      <c r="HR300" s="642"/>
      <c r="HS300" s="642"/>
      <c r="HT300" s="642"/>
      <c r="HU300" s="642"/>
      <c r="HV300" s="642"/>
      <c r="HW300" s="642"/>
      <c r="HX300" s="642"/>
      <c r="HY300" s="642"/>
      <c r="HZ300" s="642"/>
      <c r="IA300" s="642"/>
      <c r="IB300" s="642"/>
      <c r="IC300" s="642"/>
      <c r="ID300" s="642"/>
      <c r="IE300" s="642"/>
      <c r="IF300" s="642"/>
      <c r="IG300" s="642"/>
      <c r="IH300" s="642"/>
      <c r="II300" s="642"/>
      <c r="IJ300" s="642"/>
      <c r="IK300" s="642"/>
      <c r="IL300" s="642"/>
      <c r="IM300" s="642"/>
      <c r="IN300" s="642"/>
      <c r="IO300" s="642"/>
    </row>
    <row r="301" spans="1:249" ht="18" customHeight="1" x14ac:dyDescent="0.25">
      <c r="A301" s="668" t="s">
        <v>615</v>
      </c>
      <c r="B301" s="463" t="s">
        <v>386</v>
      </c>
      <c r="C301" s="669">
        <v>11</v>
      </c>
      <c r="D301" s="669">
        <v>17</v>
      </c>
      <c r="E301" s="666">
        <v>100</v>
      </c>
      <c r="F301" s="556"/>
      <c r="G301" s="642"/>
      <c r="H301" s="642"/>
      <c r="I301" s="642"/>
      <c r="J301" s="642"/>
      <c r="K301" s="642"/>
      <c r="L301" s="642"/>
      <c r="M301" s="642"/>
      <c r="N301" s="642"/>
      <c r="O301" s="642"/>
      <c r="P301" s="642"/>
      <c r="Q301" s="642"/>
      <c r="R301" s="642"/>
      <c r="S301" s="642"/>
      <c r="T301" s="642"/>
      <c r="U301" s="642"/>
      <c r="V301" s="642"/>
      <c r="W301" s="642"/>
      <c r="X301" s="642"/>
      <c r="Y301" s="642"/>
      <c r="Z301" s="642"/>
      <c r="AA301" s="642"/>
      <c r="AB301" s="642"/>
      <c r="AC301" s="642"/>
      <c r="AD301" s="642"/>
      <c r="AE301" s="642"/>
      <c r="AF301" s="642"/>
      <c r="AG301" s="642"/>
      <c r="AH301" s="642"/>
      <c r="AI301" s="642"/>
      <c r="AJ301" s="642"/>
      <c r="AK301" s="642"/>
      <c r="AL301" s="642"/>
      <c r="AM301" s="642"/>
      <c r="AN301" s="642"/>
      <c r="AO301" s="642"/>
      <c r="AP301" s="642"/>
      <c r="AQ301" s="642"/>
      <c r="AR301" s="642"/>
      <c r="AS301" s="642"/>
      <c r="AT301" s="642"/>
      <c r="AU301" s="642"/>
      <c r="AV301" s="642"/>
      <c r="AW301" s="642"/>
      <c r="AX301" s="642"/>
      <c r="AY301" s="642"/>
      <c r="AZ301" s="642"/>
      <c r="BA301" s="642"/>
      <c r="BB301" s="642"/>
      <c r="BC301" s="642"/>
      <c r="BD301" s="642"/>
      <c r="BE301" s="642"/>
      <c r="BF301" s="642"/>
      <c r="BG301" s="642"/>
      <c r="BH301" s="642"/>
      <c r="BI301" s="642"/>
      <c r="BJ301" s="642"/>
      <c r="BK301" s="642"/>
      <c r="BL301" s="642"/>
      <c r="BM301" s="642"/>
      <c r="BN301" s="642"/>
      <c r="BO301" s="642"/>
      <c r="BP301" s="642"/>
      <c r="BQ301" s="642"/>
      <c r="BR301" s="642"/>
      <c r="BS301" s="642"/>
      <c r="BT301" s="642"/>
      <c r="BU301" s="642"/>
      <c r="BV301" s="642"/>
      <c r="BW301" s="642"/>
      <c r="BX301" s="642"/>
      <c r="BY301" s="642"/>
      <c r="BZ301" s="642"/>
      <c r="CA301" s="642"/>
      <c r="CB301" s="642"/>
      <c r="CC301" s="642"/>
      <c r="CD301" s="642"/>
      <c r="CE301" s="642"/>
      <c r="CF301" s="642"/>
      <c r="CG301" s="642"/>
      <c r="CH301" s="642"/>
      <c r="CI301" s="642"/>
      <c r="CJ301" s="642"/>
      <c r="CK301" s="642"/>
      <c r="CL301" s="642"/>
      <c r="CM301" s="642"/>
      <c r="CN301" s="642"/>
      <c r="CO301" s="642"/>
      <c r="CP301" s="642"/>
      <c r="CQ301" s="642"/>
      <c r="CR301" s="642"/>
      <c r="CS301" s="642"/>
      <c r="CT301" s="642"/>
      <c r="CU301" s="642"/>
      <c r="CV301" s="642"/>
      <c r="CW301" s="642"/>
      <c r="CX301" s="642"/>
      <c r="CY301" s="642"/>
      <c r="CZ301" s="642"/>
      <c r="DA301" s="642"/>
      <c r="DB301" s="642"/>
      <c r="DC301" s="642"/>
      <c r="DD301" s="642"/>
      <c r="DE301" s="642"/>
      <c r="DF301" s="642"/>
      <c r="DG301" s="642"/>
      <c r="DH301" s="642"/>
      <c r="DI301" s="642"/>
      <c r="DJ301" s="642"/>
      <c r="DK301" s="642"/>
      <c r="DL301" s="642"/>
      <c r="DM301" s="642"/>
      <c r="DN301" s="642"/>
      <c r="DO301" s="642"/>
      <c r="DP301" s="642"/>
      <c r="DQ301" s="642"/>
      <c r="DR301" s="642"/>
      <c r="DS301" s="642"/>
      <c r="DT301" s="642"/>
      <c r="DU301" s="642"/>
      <c r="DV301" s="642"/>
      <c r="DW301" s="642"/>
      <c r="DX301" s="642"/>
      <c r="DY301" s="642"/>
      <c r="DZ301" s="642"/>
      <c r="EA301" s="642"/>
      <c r="EB301" s="642"/>
      <c r="EC301" s="642"/>
      <c r="ED301" s="642"/>
      <c r="EE301" s="642"/>
      <c r="EF301" s="642"/>
      <c r="EG301" s="642"/>
      <c r="EH301" s="642"/>
      <c r="EI301" s="642"/>
      <c r="EJ301" s="642"/>
      <c r="EK301" s="642"/>
      <c r="EL301" s="642"/>
      <c r="EM301" s="642"/>
      <c r="EN301" s="642"/>
      <c r="EO301" s="642"/>
      <c r="EP301" s="642"/>
      <c r="EQ301" s="642"/>
      <c r="ER301" s="642"/>
      <c r="ES301" s="642"/>
      <c r="ET301" s="642"/>
      <c r="EU301" s="642"/>
      <c r="EV301" s="642"/>
      <c r="EW301" s="642"/>
      <c r="EX301" s="642"/>
      <c r="EY301" s="642"/>
      <c r="EZ301" s="642"/>
      <c r="FA301" s="642"/>
      <c r="FB301" s="642"/>
      <c r="FC301" s="642"/>
      <c r="FD301" s="642"/>
      <c r="FE301" s="642"/>
      <c r="FF301" s="642"/>
      <c r="FG301" s="642"/>
      <c r="FH301" s="642"/>
      <c r="FI301" s="642"/>
      <c r="FJ301" s="642"/>
      <c r="FK301" s="642"/>
      <c r="FL301" s="642"/>
      <c r="FM301" s="642"/>
      <c r="FN301" s="642"/>
      <c r="FO301" s="642"/>
      <c r="FP301" s="642"/>
      <c r="FQ301" s="642"/>
      <c r="FR301" s="642"/>
      <c r="FS301" s="642"/>
      <c r="FT301" s="642"/>
      <c r="FU301" s="642"/>
      <c r="FV301" s="642"/>
      <c r="FW301" s="642"/>
      <c r="FX301" s="642"/>
      <c r="FY301" s="642"/>
      <c r="FZ301" s="642"/>
      <c r="GA301" s="642"/>
      <c r="GB301" s="642"/>
      <c r="GC301" s="642"/>
      <c r="GD301" s="642"/>
      <c r="GE301" s="642"/>
      <c r="GF301" s="642"/>
      <c r="GG301" s="642"/>
      <c r="GH301" s="642"/>
      <c r="GI301" s="642"/>
      <c r="GJ301" s="642"/>
      <c r="GK301" s="642"/>
      <c r="GL301" s="642"/>
      <c r="GM301" s="642"/>
      <c r="GN301" s="642"/>
      <c r="GO301" s="642"/>
      <c r="GP301" s="642"/>
      <c r="GQ301" s="642"/>
      <c r="GR301" s="642"/>
      <c r="GS301" s="642"/>
      <c r="GT301" s="642"/>
      <c r="GU301" s="642"/>
      <c r="GV301" s="642"/>
      <c r="GW301" s="642"/>
      <c r="GX301" s="642"/>
      <c r="GY301" s="642"/>
      <c r="GZ301" s="642"/>
      <c r="HA301" s="642"/>
      <c r="HB301" s="642"/>
      <c r="HC301" s="642"/>
      <c r="HD301" s="642"/>
      <c r="HE301" s="642"/>
      <c r="HF301" s="642"/>
      <c r="HG301" s="642"/>
      <c r="HH301" s="642"/>
      <c r="HI301" s="642"/>
      <c r="HJ301" s="642"/>
      <c r="HK301" s="642"/>
      <c r="HL301" s="642"/>
      <c r="HM301" s="642"/>
      <c r="HN301" s="642"/>
      <c r="HO301" s="642"/>
      <c r="HP301" s="642"/>
      <c r="HQ301" s="642"/>
      <c r="HR301" s="642"/>
      <c r="HS301" s="642"/>
      <c r="HT301" s="642"/>
      <c r="HU301" s="642"/>
      <c r="HV301" s="642"/>
      <c r="HW301" s="642"/>
      <c r="HX301" s="642"/>
      <c r="HY301" s="642"/>
      <c r="HZ301" s="642"/>
      <c r="IA301" s="642"/>
      <c r="IB301" s="642"/>
      <c r="IC301" s="642"/>
      <c r="ID301" s="642"/>
      <c r="IE301" s="642"/>
      <c r="IF301" s="642"/>
      <c r="IG301" s="642"/>
      <c r="IH301" s="642"/>
      <c r="II301" s="642"/>
      <c r="IJ301" s="642"/>
      <c r="IK301" s="642"/>
      <c r="IL301" s="642"/>
      <c r="IM301" s="642"/>
      <c r="IN301" s="642"/>
      <c r="IO301" s="642"/>
    </row>
    <row r="302" spans="1:249" x14ac:dyDescent="0.25">
      <c r="A302" s="775" t="s">
        <v>348</v>
      </c>
      <c r="B302" s="776"/>
      <c r="C302" s="776"/>
      <c r="D302" s="776"/>
      <c r="E302" s="777"/>
      <c r="F302" s="556"/>
      <c r="G302" s="642"/>
      <c r="H302" s="642"/>
      <c r="I302" s="642"/>
      <c r="J302" s="642"/>
      <c r="K302" s="642"/>
      <c r="L302" s="642"/>
      <c r="M302" s="642"/>
      <c r="N302" s="642"/>
      <c r="O302" s="642"/>
      <c r="P302" s="642"/>
      <c r="Q302" s="642"/>
      <c r="R302" s="642"/>
      <c r="S302" s="642"/>
      <c r="T302" s="642"/>
      <c r="U302" s="642"/>
      <c r="V302" s="642"/>
      <c r="W302" s="642"/>
      <c r="X302" s="642"/>
      <c r="Y302" s="642"/>
      <c r="Z302" s="642"/>
      <c r="AA302" s="642"/>
      <c r="AB302" s="642"/>
      <c r="AC302" s="642"/>
      <c r="AD302" s="642"/>
      <c r="AE302" s="642"/>
      <c r="AF302" s="642"/>
      <c r="AG302" s="642"/>
      <c r="AH302" s="642"/>
      <c r="AI302" s="642"/>
      <c r="AJ302" s="642"/>
      <c r="AK302" s="642"/>
      <c r="AL302" s="642"/>
      <c r="AM302" s="642"/>
      <c r="AN302" s="642"/>
      <c r="AO302" s="642"/>
      <c r="AP302" s="642"/>
      <c r="AQ302" s="642"/>
      <c r="AR302" s="642"/>
      <c r="AS302" s="642"/>
      <c r="AT302" s="642"/>
      <c r="AU302" s="642"/>
      <c r="AV302" s="642"/>
      <c r="AW302" s="642"/>
      <c r="AX302" s="642"/>
      <c r="AY302" s="642"/>
      <c r="AZ302" s="642"/>
      <c r="BA302" s="642"/>
      <c r="BB302" s="642"/>
      <c r="BC302" s="642"/>
      <c r="BD302" s="642"/>
      <c r="BE302" s="642"/>
      <c r="BF302" s="642"/>
      <c r="BG302" s="642"/>
      <c r="BH302" s="642"/>
      <c r="BI302" s="642"/>
      <c r="BJ302" s="642"/>
      <c r="BK302" s="642"/>
      <c r="BL302" s="642"/>
      <c r="BM302" s="642"/>
      <c r="BN302" s="642"/>
      <c r="BO302" s="642"/>
      <c r="BP302" s="642"/>
      <c r="BQ302" s="642"/>
      <c r="BR302" s="642"/>
      <c r="BS302" s="642"/>
      <c r="BT302" s="642"/>
      <c r="BU302" s="642"/>
      <c r="BV302" s="642"/>
      <c r="BW302" s="642"/>
      <c r="BX302" s="642"/>
      <c r="BY302" s="642"/>
      <c r="BZ302" s="642"/>
      <c r="CA302" s="642"/>
      <c r="CB302" s="642"/>
      <c r="CC302" s="642"/>
      <c r="CD302" s="642"/>
      <c r="CE302" s="642"/>
      <c r="CF302" s="642"/>
      <c r="CG302" s="642"/>
      <c r="CH302" s="642"/>
      <c r="CI302" s="642"/>
      <c r="CJ302" s="642"/>
      <c r="CK302" s="642"/>
      <c r="CL302" s="642"/>
      <c r="CM302" s="642"/>
      <c r="CN302" s="642"/>
      <c r="CO302" s="642"/>
      <c r="CP302" s="642"/>
      <c r="CQ302" s="642"/>
      <c r="CR302" s="642"/>
      <c r="CS302" s="642"/>
      <c r="CT302" s="642"/>
      <c r="CU302" s="642"/>
      <c r="CV302" s="642"/>
      <c r="CW302" s="642"/>
      <c r="CX302" s="642"/>
      <c r="CY302" s="642"/>
      <c r="CZ302" s="642"/>
      <c r="DA302" s="642"/>
      <c r="DB302" s="642"/>
      <c r="DC302" s="642"/>
      <c r="DD302" s="642"/>
      <c r="DE302" s="642"/>
      <c r="DF302" s="642"/>
      <c r="DG302" s="642"/>
      <c r="DH302" s="642"/>
      <c r="DI302" s="642"/>
      <c r="DJ302" s="642"/>
      <c r="DK302" s="642"/>
      <c r="DL302" s="642"/>
      <c r="DM302" s="642"/>
      <c r="DN302" s="642"/>
      <c r="DO302" s="642"/>
      <c r="DP302" s="642"/>
      <c r="DQ302" s="642"/>
      <c r="DR302" s="642"/>
      <c r="DS302" s="642"/>
      <c r="DT302" s="642"/>
      <c r="DU302" s="642"/>
      <c r="DV302" s="642"/>
      <c r="DW302" s="642"/>
      <c r="DX302" s="642"/>
      <c r="DY302" s="642"/>
      <c r="DZ302" s="642"/>
      <c r="EA302" s="642"/>
      <c r="EB302" s="642"/>
      <c r="EC302" s="642"/>
      <c r="ED302" s="642"/>
      <c r="EE302" s="642"/>
      <c r="EF302" s="642"/>
      <c r="EG302" s="642"/>
      <c r="EH302" s="642"/>
      <c r="EI302" s="642"/>
      <c r="EJ302" s="642"/>
      <c r="EK302" s="642"/>
      <c r="EL302" s="642"/>
      <c r="EM302" s="642"/>
      <c r="EN302" s="642"/>
      <c r="EO302" s="642"/>
      <c r="EP302" s="642"/>
      <c r="EQ302" s="642"/>
      <c r="ER302" s="642"/>
      <c r="ES302" s="642"/>
      <c r="ET302" s="642"/>
      <c r="EU302" s="642"/>
      <c r="EV302" s="642"/>
      <c r="EW302" s="642"/>
      <c r="EX302" s="642"/>
      <c r="EY302" s="642"/>
      <c r="EZ302" s="642"/>
      <c r="FA302" s="642"/>
      <c r="FB302" s="642"/>
      <c r="FC302" s="642"/>
      <c r="FD302" s="642"/>
      <c r="FE302" s="642"/>
      <c r="FF302" s="642"/>
      <c r="FG302" s="642"/>
      <c r="FH302" s="642"/>
      <c r="FI302" s="642"/>
      <c r="FJ302" s="642"/>
      <c r="FK302" s="642"/>
      <c r="FL302" s="642"/>
      <c r="FM302" s="642"/>
      <c r="FN302" s="642"/>
      <c r="FO302" s="642"/>
      <c r="FP302" s="642"/>
      <c r="FQ302" s="642"/>
      <c r="FR302" s="642"/>
      <c r="FS302" s="642"/>
      <c r="FT302" s="642"/>
      <c r="FU302" s="642"/>
      <c r="FV302" s="642"/>
      <c r="FW302" s="642"/>
      <c r="FX302" s="642"/>
      <c r="FY302" s="642"/>
      <c r="FZ302" s="642"/>
      <c r="GA302" s="642"/>
      <c r="GB302" s="642"/>
      <c r="GC302" s="642"/>
      <c r="GD302" s="642"/>
      <c r="GE302" s="642"/>
      <c r="GF302" s="642"/>
      <c r="GG302" s="642"/>
      <c r="GH302" s="642"/>
      <c r="GI302" s="642"/>
      <c r="GJ302" s="642"/>
      <c r="GK302" s="642"/>
      <c r="GL302" s="642"/>
      <c r="GM302" s="642"/>
      <c r="GN302" s="642"/>
      <c r="GO302" s="642"/>
      <c r="GP302" s="642"/>
      <c r="GQ302" s="642"/>
      <c r="GR302" s="642"/>
      <c r="GS302" s="642"/>
      <c r="GT302" s="642"/>
      <c r="GU302" s="642"/>
      <c r="GV302" s="642"/>
      <c r="GW302" s="642"/>
      <c r="GX302" s="642"/>
      <c r="GY302" s="642"/>
      <c r="GZ302" s="642"/>
      <c r="HA302" s="642"/>
      <c r="HB302" s="642"/>
      <c r="HC302" s="642"/>
      <c r="HD302" s="642"/>
      <c r="HE302" s="642"/>
      <c r="HF302" s="642"/>
      <c r="HG302" s="642"/>
      <c r="HH302" s="642"/>
      <c r="HI302" s="642"/>
      <c r="HJ302" s="642"/>
      <c r="HK302" s="642"/>
      <c r="HL302" s="642"/>
      <c r="HM302" s="642"/>
      <c r="HN302" s="642"/>
      <c r="HO302" s="642"/>
      <c r="HP302" s="642"/>
      <c r="HQ302" s="642"/>
      <c r="HR302" s="642"/>
      <c r="HS302" s="642"/>
      <c r="HT302" s="642"/>
      <c r="HU302" s="642"/>
      <c r="HV302" s="642"/>
      <c r="HW302" s="642"/>
      <c r="HX302" s="642"/>
      <c r="HY302" s="642"/>
      <c r="HZ302" s="642"/>
      <c r="IA302" s="642"/>
      <c r="IB302" s="642"/>
      <c r="IC302" s="642"/>
      <c r="ID302" s="642"/>
      <c r="IE302" s="642"/>
      <c r="IF302" s="642"/>
      <c r="IG302" s="642"/>
      <c r="IH302" s="642"/>
      <c r="II302" s="642"/>
      <c r="IJ302" s="642"/>
      <c r="IK302" s="642"/>
      <c r="IL302" s="642"/>
      <c r="IM302" s="642"/>
      <c r="IN302" s="642"/>
      <c r="IO302" s="642"/>
    </row>
    <row r="303" spans="1:249" ht="47.25" x14ac:dyDescent="0.25">
      <c r="A303" s="149" t="s">
        <v>616</v>
      </c>
      <c r="B303" s="463" t="s">
        <v>386</v>
      </c>
      <c r="C303" s="669">
        <v>86</v>
      </c>
      <c r="D303" s="669">
        <v>89.2</v>
      </c>
      <c r="E303" s="666">
        <v>100</v>
      </c>
      <c r="F303" s="556"/>
      <c r="G303" s="642"/>
      <c r="H303" s="642"/>
      <c r="I303" s="642"/>
      <c r="J303" s="642"/>
      <c r="K303" s="642"/>
      <c r="L303" s="642"/>
      <c r="M303" s="642"/>
      <c r="N303" s="642"/>
      <c r="O303" s="642"/>
      <c r="P303" s="642"/>
      <c r="Q303" s="642"/>
      <c r="R303" s="642"/>
      <c r="S303" s="642"/>
      <c r="T303" s="642"/>
      <c r="U303" s="642"/>
      <c r="V303" s="642"/>
      <c r="W303" s="642"/>
      <c r="X303" s="642"/>
      <c r="Y303" s="642"/>
      <c r="Z303" s="642"/>
      <c r="AA303" s="642"/>
      <c r="AB303" s="642"/>
      <c r="AC303" s="642"/>
      <c r="AD303" s="642"/>
      <c r="AE303" s="642"/>
      <c r="AF303" s="642"/>
      <c r="AG303" s="642"/>
      <c r="AH303" s="642"/>
      <c r="AI303" s="642"/>
      <c r="AJ303" s="642"/>
      <c r="AK303" s="642"/>
      <c r="AL303" s="642"/>
      <c r="AM303" s="642"/>
      <c r="AN303" s="642"/>
      <c r="AO303" s="642"/>
      <c r="AP303" s="642"/>
      <c r="AQ303" s="642"/>
      <c r="AR303" s="642"/>
      <c r="AS303" s="642"/>
      <c r="AT303" s="642"/>
      <c r="AU303" s="642"/>
      <c r="AV303" s="642"/>
      <c r="AW303" s="642"/>
      <c r="AX303" s="642"/>
      <c r="AY303" s="642"/>
      <c r="AZ303" s="642"/>
      <c r="BA303" s="642"/>
      <c r="BB303" s="642"/>
      <c r="BC303" s="642"/>
      <c r="BD303" s="642"/>
      <c r="BE303" s="642"/>
      <c r="BF303" s="642"/>
      <c r="BG303" s="642"/>
      <c r="BH303" s="642"/>
      <c r="BI303" s="642"/>
      <c r="BJ303" s="642"/>
      <c r="BK303" s="642"/>
      <c r="BL303" s="642"/>
      <c r="BM303" s="642"/>
      <c r="BN303" s="642"/>
      <c r="BO303" s="642"/>
      <c r="BP303" s="642"/>
      <c r="BQ303" s="642"/>
      <c r="BR303" s="642"/>
      <c r="BS303" s="642"/>
      <c r="BT303" s="642"/>
      <c r="BU303" s="642"/>
      <c r="BV303" s="642"/>
      <c r="BW303" s="642"/>
      <c r="BX303" s="642"/>
      <c r="BY303" s="642"/>
      <c r="BZ303" s="642"/>
      <c r="CA303" s="642"/>
      <c r="CB303" s="642"/>
      <c r="CC303" s="642"/>
      <c r="CD303" s="642"/>
      <c r="CE303" s="642"/>
      <c r="CF303" s="642"/>
      <c r="CG303" s="642"/>
      <c r="CH303" s="642"/>
      <c r="CI303" s="642"/>
      <c r="CJ303" s="642"/>
      <c r="CK303" s="642"/>
      <c r="CL303" s="642"/>
      <c r="CM303" s="642"/>
      <c r="CN303" s="642"/>
      <c r="CO303" s="642"/>
      <c r="CP303" s="642"/>
      <c r="CQ303" s="642"/>
      <c r="CR303" s="642"/>
      <c r="CS303" s="642"/>
      <c r="CT303" s="642"/>
      <c r="CU303" s="642"/>
      <c r="CV303" s="642"/>
      <c r="CW303" s="642"/>
      <c r="CX303" s="642"/>
      <c r="CY303" s="642"/>
      <c r="CZ303" s="642"/>
      <c r="DA303" s="642"/>
      <c r="DB303" s="642"/>
      <c r="DC303" s="642"/>
      <c r="DD303" s="642"/>
      <c r="DE303" s="642"/>
      <c r="DF303" s="642"/>
      <c r="DG303" s="642"/>
      <c r="DH303" s="642"/>
      <c r="DI303" s="642"/>
      <c r="DJ303" s="642"/>
      <c r="DK303" s="642"/>
      <c r="DL303" s="642"/>
      <c r="DM303" s="642"/>
      <c r="DN303" s="642"/>
      <c r="DO303" s="642"/>
      <c r="DP303" s="642"/>
      <c r="DQ303" s="642"/>
      <c r="DR303" s="642"/>
      <c r="DS303" s="642"/>
      <c r="DT303" s="642"/>
      <c r="DU303" s="642"/>
      <c r="DV303" s="642"/>
      <c r="DW303" s="642"/>
      <c r="DX303" s="642"/>
      <c r="DY303" s="642"/>
      <c r="DZ303" s="642"/>
      <c r="EA303" s="642"/>
      <c r="EB303" s="642"/>
      <c r="EC303" s="642"/>
      <c r="ED303" s="642"/>
      <c r="EE303" s="642"/>
      <c r="EF303" s="642"/>
      <c r="EG303" s="642"/>
      <c r="EH303" s="642"/>
      <c r="EI303" s="642"/>
      <c r="EJ303" s="642"/>
      <c r="EK303" s="642"/>
      <c r="EL303" s="642"/>
      <c r="EM303" s="642"/>
      <c r="EN303" s="642"/>
      <c r="EO303" s="642"/>
      <c r="EP303" s="642"/>
      <c r="EQ303" s="642"/>
      <c r="ER303" s="642"/>
      <c r="ES303" s="642"/>
      <c r="ET303" s="642"/>
      <c r="EU303" s="642"/>
      <c r="EV303" s="642"/>
      <c r="EW303" s="642"/>
      <c r="EX303" s="642"/>
      <c r="EY303" s="642"/>
      <c r="EZ303" s="642"/>
      <c r="FA303" s="642"/>
      <c r="FB303" s="642"/>
      <c r="FC303" s="642"/>
      <c r="FD303" s="642"/>
      <c r="FE303" s="642"/>
      <c r="FF303" s="642"/>
      <c r="FG303" s="642"/>
      <c r="FH303" s="642"/>
      <c r="FI303" s="642"/>
      <c r="FJ303" s="642"/>
      <c r="FK303" s="642"/>
      <c r="FL303" s="642"/>
      <c r="FM303" s="642"/>
      <c r="FN303" s="642"/>
      <c r="FO303" s="642"/>
      <c r="FP303" s="642"/>
      <c r="FQ303" s="642"/>
      <c r="FR303" s="642"/>
      <c r="FS303" s="642"/>
      <c r="FT303" s="642"/>
      <c r="FU303" s="642"/>
      <c r="FV303" s="642"/>
      <c r="FW303" s="642"/>
      <c r="FX303" s="642"/>
      <c r="FY303" s="642"/>
      <c r="FZ303" s="642"/>
      <c r="GA303" s="642"/>
      <c r="GB303" s="642"/>
      <c r="GC303" s="642"/>
      <c r="GD303" s="642"/>
      <c r="GE303" s="642"/>
      <c r="GF303" s="642"/>
      <c r="GG303" s="642"/>
      <c r="GH303" s="642"/>
      <c r="GI303" s="642"/>
      <c r="GJ303" s="642"/>
      <c r="GK303" s="642"/>
      <c r="GL303" s="642"/>
      <c r="GM303" s="642"/>
      <c r="GN303" s="642"/>
      <c r="GO303" s="642"/>
      <c r="GP303" s="642"/>
      <c r="GQ303" s="642"/>
      <c r="GR303" s="642"/>
      <c r="GS303" s="642"/>
      <c r="GT303" s="642"/>
      <c r="GU303" s="642"/>
      <c r="GV303" s="642"/>
      <c r="GW303" s="642"/>
      <c r="GX303" s="642"/>
      <c r="GY303" s="642"/>
      <c r="GZ303" s="642"/>
      <c r="HA303" s="642"/>
      <c r="HB303" s="642"/>
      <c r="HC303" s="642"/>
      <c r="HD303" s="642"/>
      <c r="HE303" s="642"/>
      <c r="HF303" s="642"/>
      <c r="HG303" s="642"/>
      <c r="HH303" s="642"/>
      <c r="HI303" s="642"/>
      <c r="HJ303" s="642"/>
      <c r="HK303" s="642"/>
      <c r="HL303" s="642"/>
      <c r="HM303" s="642"/>
      <c r="HN303" s="642"/>
      <c r="HO303" s="642"/>
      <c r="HP303" s="642"/>
      <c r="HQ303" s="642"/>
      <c r="HR303" s="642"/>
      <c r="HS303" s="642"/>
      <c r="HT303" s="642"/>
      <c r="HU303" s="642"/>
      <c r="HV303" s="642"/>
      <c r="HW303" s="642"/>
      <c r="HX303" s="642"/>
      <c r="HY303" s="642"/>
      <c r="HZ303" s="642"/>
      <c r="IA303" s="642"/>
      <c r="IB303" s="642"/>
      <c r="IC303" s="642"/>
      <c r="ID303" s="642"/>
      <c r="IE303" s="642"/>
      <c r="IF303" s="642"/>
      <c r="IG303" s="642"/>
      <c r="IH303" s="642"/>
      <c r="II303" s="642"/>
      <c r="IJ303" s="642"/>
      <c r="IK303" s="642"/>
      <c r="IL303" s="642"/>
      <c r="IM303" s="642"/>
      <c r="IN303" s="642"/>
      <c r="IO303" s="642"/>
    </row>
    <row r="304" spans="1:249" ht="31.5" x14ac:dyDescent="0.25">
      <c r="A304" s="149" t="s">
        <v>617</v>
      </c>
      <c r="B304" s="463" t="s">
        <v>386</v>
      </c>
      <c r="C304" s="669">
        <v>95</v>
      </c>
      <c r="D304" s="669">
        <v>100</v>
      </c>
      <c r="E304" s="666">
        <v>100</v>
      </c>
      <c r="F304" s="556"/>
      <c r="G304" s="642"/>
      <c r="H304" s="642"/>
      <c r="I304" s="642"/>
      <c r="J304" s="642"/>
      <c r="K304" s="642"/>
      <c r="L304" s="642"/>
      <c r="M304" s="642"/>
      <c r="N304" s="642"/>
      <c r="O304" s="642"/>
      <c r="P304" s="642"/>
      <c r="Q304" s="642"/>
      <c r="R304" s="642"/>
      <c r="S304" s="642"/>
      <c r="T304" s="642"/>
      <c r="U304" s="642"/>
      <c r="V304" s="642"/>
      <c r="W304" s="642"/>
      <c r="X304" s="642"/>
      <c r="Y304" s="642"/>
      <c r="Z304" s="642"/>
      <c r="AA304" s="642"/>
      <c r="AB304" s="642"/>
      <c r="AC304" s="642"/>
      <c r="AD304" s="642"/>
      <c r="AE304" s="642"/>
      <c r="AF304" s="642"/>
      <c r="AG304" s="642"/>
      <c r="AH304" s="642"/>
      <c r="AI304" s="642"/>
      <c r="AJ304" s="642"/>
      <c r="AK304" s="642"/>
      <c r="AL304" s="642"/>
      <c r="AM304" s="642"/>
      <c r="AN304" s="642"/>
      <c r="AO304" s="642"/>
      <c r="AP304" s="642"/>
      <c r="AQ304" s="642"/>
      <c r="AR304" s="642"/>
      <c r="AS304" s="642"/>
      <c r="AT304" s="642"/>
      <c r="AU304" s="642"/>
      <c r="AV304" s="642"/>
      <c r="AW304" s="642"/>
      <c r="AX304" s="642"/>
      <c r="AY304" s="642"/>
      <c r="AZ304" s="642"/>
      <c r="BA304" s="642"/>
      <c r="BB304" s="642"/>
      <c r="BC304" s="642"/>
      <c r="BD304" s="642"/>
      <c r="BE304" s="642"/>
      <c r="BF304" s="642"/>
      <c r="BG304" s="642"/>
      <c r="BH304" s="642"/>
      <c r="BI304" s="642"/>
      <c r="BJ304" s="642"/>
      <c r="BK304" s="642"/>
      <c r="BL304" s="642"/>
      <c r="BM304" s="642"/>
      <c r="BN304" s="642"/>
      <c r="BO304" s="642"/>
      <c r="BP304" s="642"/>
      <c r="BQ304" s="642"/>
      <c r="BR304" s="642"/>
      <c r="BS304" s="642"/>
      <c r="BT304" s="642"/>
      <c r="BU304" s="642"/>
      <c r="BV304" s="642"/>
      <c r="BW304" s="642"/>
      <c r="BX304" s="642"/>
      <c r="BY304" s="642"/>
      <c r="BZ304" s="642"/>
      <c r="CA304" s="642"/>
      <c r="CB304" s="642"/>
      <c r="CC304" s="642"/>
      <c r="CD304" s="642"/>
      <c r="CE304" s="642"/>
      <c r="CF304" s="642"/>
      <c r="CG304" s="642"/>
      <c r="CH304" s="642"/>
      <c r="CI304" s="642"/>
      <c r="CJ304" s="642"/>
      <c r="CK304" s="642"/>
      <c r="CL304" s="642"/>
      <c r="CM304" s="642"/>
      <c r="CN304" s="642"/>
      <c r="CO304" s="642"/>
      <c r="CP304" s="642"/>
      <c r="CQ304" s="642"/>
      <c r="CR304" s="642"/>
      <c r="CS304" s="642"/>
      <c r="CT304" s="642"/>
      <c r="CU304" s="642"/>
      <c r="CV304" s="642"/>
      <c r="CW304" s="642"/>
      <c r="CX304" s="642"/>
      <c r="CY304" s="642"/>
      <c r="CZ304" s="642"/>
      <c r="DA304" s="642"/>
      <c r="DB304" s="642"/>
      <c r="DC304" s="642"/>
      <c r="DD304" s="642"/>
      <c r="DE304" s="642"/>
      <c r="DF304" s="642"/>
      <c r="DG304" s="642"/>
      <c r="DH304" s="642"/>
      <c r="DI304" s="642"/>
      <c r="DJ304" s="642"/>
      <c r="DK304" s="642"/>
      <c r="DL304" s="642"/>
      <c r="DM304" s="642"/>
      <c r="DN304" s="642"/>
      <c r="DO304" s="642"/>
      <c r="DP304" s="642"/>
      <c r="DQ304" s="642"/>
      <c r="DR304" s="642"/>
      <c r="DS304" s="642"/>
      <c r="DT304" s="642"/>
      <c r="DU304" s="642"/>
      <c r="DV304" s="642"/>
      <c r="DW304" s="642"/>
      <c r="DX304" s="642"/>
      <c r="DY304" s="642"/>
      <c r="DZ304" s="642"/>
      <c r="EA304" s="642"/>
      <c r="EB304" s="642"/>
      <c r="EC304" s="642"/>
      <c r="ED304" s="642"/>
      <c r="EE304" s="642"/>
      <c r="EF304" s="642"/>
      <c r="EG304" s="642"/>
      <c r="EH304" s="642"/>
      <c r="EI304" s="642"/>
      <c r="EJ304" s="642"/>
      <c r="EK304" s="642"/>
      <c r="EL304" s="642"/>
      <c r="EM304" s="642"/>
      <c r="EN304" s="642"/>
      <c r="EO304" s="642"/>
      <c r="EP304" s="642"/>
      <c r="EQ304" s="642"/>
      <c r="ER304" s="642"/>
      <c r="ES304" s="642"/>
      <c r="ET304" s="642"/>
      <c r="EU304" s="642"/>
      <c r="EV304" s="642"/>
      <c r="EW304" s="642"/>
      <c r="EX304" s="642"/>
      <c r="EY304" s="642"/>
      <c r="EZ304" s="642"/>
      <c r="FA304" s="642"/>
      <c r="FB304" s="642"/>
      <c r="FC304" s="642"/>
      <c r="FD304" s="642"/>
      <c r="FE304" s="642"/>
      <c r="FF304" s="642"/>
      <c r="FG304" s="642"/>
      <c r="FH304" s="642"/>
      <c r="FI304" s="642"/>
      <c r="FJ304" s="642"/>
      <c r="FK304" s="642"/>
      <c r="FL304" s="642"/>
      <c r="FM304" s="642"/>
      <c r="FN304" s="642"/>
      <c r="FO304" s="642"/>
      <c r="FP304" s="642"/>
      <c r="FQ304" s="642"/>
      <c r="FR304" s="642"/>
      <c r="FS304" s="642"/>
      <c r="FT304" s="642"/>
      <c r="FU304" s="642"/>
      <c r="FV304" s="642"/>
      <c r="FW304" s="642"/>
      <c r="FX304" s="642"/>
      <c r="FY304" s="642"/>
      <c r="FZ304" s="642"/>
      <c r="GA304" s="642"/>
      <c r="GB304" s="642"/>
      <c r="GC304" s="642"/>
      <c r="GD304" s="642"/>
      <c r="GE304" s="642"/>
      <c r="GF304" s="642"/>
      <c r="GG304" s="642"/>
      <c r="GH304" s="642"/>
      <c r="GI304" s="642"/>
      <c r="GJ304" s="642"/>
      <c r="GK304" s="642"/>
      <c r="GL304" s="642"/>
      <c r="GM304" s="642"/>
      <c r="GN304" s="642"/>
      <c r="GO304" s="642"/>
      <c r="GP304" s="642"/>
      <c r="GQ304" s="642"/>
      <c r="GR304" s="642"/>
      <c r="GS304" s="642"/>
      <c r="GT304" s="642"/>
      <c r="GU304" s="642"/>
      <c r="GV304" s="642"/>
      <c r="GW304" s="642"/>
      <c r="GX304" s="642"/>
      <c r="GY304" s="642"/>
      <c r="GZ304" s="642"/>
      <c r="HA304" s="642"/>
      <c r="HB304" s="642"/>
      <c r="HC304" s="642"/>
      <c r="HD304" s="642"/>
      <c r="HE304" s="642"/>
      <c r="HF304" s="642"/>
      <c r="HG304" s="642"/>
      <c r="HH304" s="642"/>
      <c r="HI304" s="642"/>
      <c r="HJ304" s="642"/>
      <c r="HK304" s="642"/>
      <c r="HL304" s="642"/>
      <c r="HM304" s="642"/>
      <c r="HN304" s="642"/>
      <c r="HO304" s="642"/>
      <c r="HP304" s="642"/>
      <c r="HQ304" s="642"/>
      <c r="HR304" s="642"/>
      <c r="HS304" s="642"/>
      <c r="HT304" s="642"/>
      <c r="HU304" s="642"/>
      <c r="HV304" s="642"/>
      <c r="HW304" s="642"/>
      <c r="HX304" s="642"/>
      <c r="HY304" s="642"/>
      <c r="HZ304" s="642"/>
      <c r="IA304" s="642"/>
      <c r="IB304" s="642"/>
      <c r="IC304" s="642"/>
      <c r="ID304" s="642"/>
      <c r="IE304" s="642"/>
      <c r="IF304" s="642"/>
      <c r="IG304" s="642"/>
      <c r="IH304" s="642"/>
      <c r="II304" s="642"/>
      <c r="IJ304" s="642"/>
      <c r="IK304" s="642"/>
      <c r="IL304" s="642"/>
      <c r="IM304" s="642"/>
      <c r="IN304" s="642"/>
      <c r="IO304" s="642"/>
    </row>
    <row r="305" spans="1:249" ht="47.25" x14ac:dyDescent="0.25">
      <c r="A305" s="149" t="s">
        <v>618</v>
      </c>
      <c r="B305" s="463" t="s">
        <v>386</v>
      </c>
      <c r="C305" s="669">
        <v>15</v>
      </c>
      <c r="D305" s="669">
        <v>0</v>
      </c>
      <c r="E305" s="666">
        <f>D305/C305*100</f>
        <v>0</v>
      </c>
      <c r="F305" s="556"/>
      <c r="G305" s="642"/>
      <c r="H305" s="642"/>
      <c r="I305" s="642"/>
      <c r="J305" s="642"/>
      <c r="K305" s="642"/>
      <c r="L305" s="642"/>
      <c r="M305" s="642"/>
      <c r="N305" s="642"/>
      <c r="O305" s="642"/>
      <c r="P305" s="642"/>
      <c r="Q305" s="642"/>
      <c r="R305" s="642"/>
      <c r="S305" s="642"/>
      <c r="T305" s="642"/>
      <c r="U305" s="642"/>
      <c r="V305" s="642"/>
      <c r="W305" s="642"/>
      <c r="X305" s="642"/>
      <c r="Y305" s="642"/>
      <c r="Z305" s="642"/>
      <c r="AA305" s="642"/>
      <c r="AB305" s="642"/>
      <c r="AC305" s="642"/>
      <c r="AD305" s="642"/>
      <c r="AE305" s="642"/>
      <c r="AF305" s="642"/>
      <c r="AG305" s="642"/>
      <c r="AH305" s="642"/>
      <c r="AI305" s="642"/>
      <c r="AJ305" s="642"/>
      <c r="AK305" s="642"/>
      <c r="AL305" s="642"/>
      <c r="AM305" s="642"/>
      <c r="AN305" s="642"/>
      <c r="AO305" s="642"/>
      <c r="AP305" s="642"/>
      <c r="AQ305" s="642"/>
      <c r="AR305" s="642"/>
      <c r="AS305" s="642"/>
      <c r="AT305" s="642"/>
      <c r="AU305" s="642"/>
      <c r="AV305" s="642"/>
      <c r="AW305" s="642"/>
      <c r="AX305" s="642"/>
      <c r="AY305" s="642"/>
      <c r="AZ305" s="642"/>
      <c r="BA305" s="642"/>
      <c r="BB305" s="642"/>
      <c r="BC305" s="642"/>
      <c r="BD305" s="642"/>
      <c r="BE305" s="642"/>
      <c r="BF305" s="642"/>
      <c r="BG305" s="642"/>
      <c r="BH305" s="642"/>
      <c r="BI305" s="642"/>
      <c r="BJ305" s="642"/>
      <c r="BK305" s="642"/>
      <c r="BL305" s="642"/>
      <c r="BM305" s="642"/>
      <c r="BN305" s="642"/>
      <c r="BO305" s="642"/>
      <c r="BP305" s="642"/>
      <c r="BQ305" s="642"/>
      <c r="BR305" s="642"/>
      <c r="BS305" s="642"/>
      <c r="BT305" s="642"/>
      <c r="BU305" s="642"/>
      <c r="BV305" s="642"/>
      <c r="BW305" s="642"/>
      <c r="BX305" s="642"/>
      <c r="BY305" s="642"/>
      <c r="BZ305" s="642"/>
      <c r="CA305" s="642"/>
      <c r="CB305" s="642"/>
      <c r="CC305" s="642"/>
      <c r="CD305" s="642"/>
      <c r="CE305" s="642"/>
      <c r="CF305" s="642"/>
      <c r="CG305" s="642"/>
      <c r="CH305" s="642"/>
      <c r="CI305" s="642"/>
      <c r="CJ305" s="642"/>
      <c r="CK305" s="642"/>
      <c r="CL305" s="642"/>
      <c r="CM305" s="642"/>
      <c r="CN305" s="642"/>
      <c r="CO305" s="642"/>
      <c r="CP305" s="642"/>
      <c r="CQ305" s="642"/>
      <c r="CR305" s="642"/>
      <c r="CS305" s="642"/>
      <c r="CT305" s="642"/>
      <c r="CU305" s="642"/>
      <c r="CV305" s="642"/>
      <c r="CW305" s="642"/>
      <c r="CX305" s="642"/>
      <c r="CY305" s="642"/>
      <c r="CZ305" s="642"/>
      <c r="DA305" s="642"/>
      <c r="DB305" s="642"/>
      <c r="DC305" s="642"/>
      <c r="DD305" s="642"/>
      <c r="DE305" s="642"/>
      <c r="DF305" s="642"/>
      <c r="DG305" s="642"/>
      <c r="DH305" s="642"/>
      <c r="DI305" s="642"/>
      <c r="DJ305" s="642"/>
      <c r="DK305" s="642"/>
      <c r="DL305" s="642"/>
      <c r="DM305" s="642"/>
      <c r="DN305" s="642"/>
      <c r="DO305" s="642"/>
      <c r="DP305" s="642"/>
      <c r="DQ305" s="642"/>
      <c r="DR305" s="642"/>
      <c r="DS305" s="642"/>
      <c r="DT305" s="642"/>
      <c r="DU305" s="642"/>
      <c r="DV305" s="642"/>
      <c r="DW305" s="642"/>
      <c r="DX305" s="642"/>
      <c r="DY305" s="642"/>
      <c r="DZ305" s="642"/>
      <c r="EA305" s="642"/>
      <c r="EB305" s="642"/>
      <c r="EC305" s="642"/>
      <c r="ED305" s="642"/>
      <c r="EE305" s="642"/>
      <c r="EF305" s="642"/>
      <c r="EG305" s="642"/>
      <c r="EH305" s="642"/>
      <c r="EI305" s="642"/>
      <c r="EJ305" s="642"/>
      <c r="EK305" s="642"/>
      <c r="EL305" s="642"/>
      <c r="EM305" s="642"/>
      <c r="EN305" s="642"/>
      <c r="EO305" s="642"/>
      <c r="EP305" s="642"/>
      <c r="EQ305" s="642"/>
      <c r="ER305" s="642"/>
      <c r="ES305" s="642"/>
      <c r="ET305" s="642"/>
      <c r="EU305" s="642"/>
      <c r="EV305" s="642"/>
      <c r="EW305" s="642"/>
      <c r="EX305" s="642"/>
      <c r="EY305" s="642"/>
      <c r="EZ305" s="642"/>
      <c r="FA305" s="642"/>
      <c r="FB305" s="642"/>
      <c r="FC305" s="642"/>
      <c r="FD305" s="642"/>
      <c r="FE305" s="642"/>
      <c r="FF305" s="642"/>
      <c r="FG305" s="642"/>
      <c r="FH305" s="642"/>
      <c r="FI305" s="642"/>
      <c r="FJ305" s="642"/>
      <c r="FK305" s="642"/>
      <c r="FL305" s="642"/>
      <c r="FM305" s="642"/>
      <c r="FN305" s="642"/>
      <c r="FO305" s="642"/>
      <c r="FP305" s="642"/>
      <c r="FQ305" s="642"/>
      <c r="FR305" s="642"/>
      <c r="FS305" s="642"/>
      <c r="FT305" s="642"/>
      <c r="FU305" s="642"/>
      <c r="FV305" s="642"/>
      <c r="FW305" s="642"/>
      <c r="FX305" s="642"/>
      <c r="FY305" s="642"/>
      <c r="FZ305" s="642"/>
      <c r="GA305" s="642"/>
      <c r="GB305" s="642"/>
      <c r="GC305" s="642"/>
      <c r="GD305" s="642"/>
      <c r="GE305" s="642"/>
      <c r="GF305" s="642"/>
      <c r="GG305" s="642"/>
      <c r="GH305" s="642"/>
      <c r="GI305" s="642"/>
      <c r="GJ305" s="642"/>
      <c r="GK305" s="642"/>
      <c r="GL305" s="642"/>
      <c r="GM305" s="642"/>
      <c r="GN305" s="642"/>
      <c r="GO305" s="642"/>
      <c r="GP305" s="642"/>
      <c r="GQ305" s="642"/>
      <c r="GR305" s="642"/>
      <c r="GS305" s="642"/>
      <c r="GT305" s="642"/>
      <c r="GU305" s="642"/>
      <c r="GV305" s="642"/>
      <c r="GW305" s="642"/>
      <c r="GX305" s="642"/>
      <c r="GY305" s="642"/>
      <c r="GZ305" s="642"/>
      <c r="HA305" s="642"/>
      <c r="HB305" s="642"/>
      <c r="HC305" s="642"/>
      <c r="HD305" s="642"/>
      <c r="HE305" s="642"/>
      <c r="HF305" s="642"/>
      <c r="HG305" s="642"/>
      <c r="HH305" s="642"/>
      <c r="HI305" s="642"/>
      <c r="HJ305" s="642"/>
      <c r="HK305" s="642"/>
      <c r="HL305" s="642"/>
      <c r="HM305" s="642"/>
      <c r="HN305" s="642"/>
      <c r="HO305" s="642"/>
      <c r="HP305" s="642"/>
      <c r="HQ305" s="642"/>
      <c r="HR305" s="642"/>
      <c r="HS305" s="642"/>
      <c r="HT305" s="642"/>
      <c r="HU305" s="642"/>
      <c r="HV305" s="642"/>
      <c r="HW305" s="642"/>
      <c r="HX305" s="642"/>
      <c r="HY305" s="642"/>
      <c r="HZ305" s="642"/>
      <c r="IA305" s="642"/>
      <c r="IB305" s="642"/>
      <c r="IC305" s="642"/>
      <c r="ID305" s="642"/>
      <c r="IE305" s="642"/>
      <c r="IF305" s="642"/>
      <c r="IG305" s="642"/>
      <c r="IH305" s="642"/>
      <c r="II305" s="642"/>
      <c r="IJ305" s="642"/>
      <c r="IK305" s="642"/>
      <c r="IL305" s="642"/>
      <c r="IM305" s="642"/>
      <c r="IN305" s="642"/>
      <c r="IO305" s="642"/>
    </row>
    <row r="306" spans="1:249" ht="17.25" customHeight="1" x14ac:dyDescent="0.25">
      <c r="A306" s="775" t="s">
        <v>619</v>
      </c>
      <c r="B306" s="778"/>
      <c r="C306" s="778"/>
      <c r="D306" s="778"/>
      <c r="E306" s="778"/>
      <c r="F306" s="779"/>
      <c r="G306" s="642"/>
      <c r="H306" s="642"/>
      <c r="I306" s="642"/>
      <c r="J306" s="642"/>
      <c r="K306" s="642"/>
      <c r="L306" s="642"/>
      <c r="M306" s="642"/>
      <c r="N306" s="642"/>
      <c r="O306" s="642"/>
      <c r="P306" s="642"/>
      <c r="Q306" s="642"/>
      <c r="R306" s="642"/>
      <c r="S306" s="642"/>
      <c r="T306" s="642"/>
      <c r="U306" s="642"/>
      <c r="V306" s="642"/>
      <c r="W306" s="642"/>
      <c r="X306" s="642"/>
      <c r="Y306" s="642"/>
      <c r="Z306" s="642"/>
      <c r="AA306" s="642"/>
      <c r="AB306" s="642"/>
      <c r="AC306" s="642"/>
      <c r="AD306" s="642"/>
      <c r="AE306" s="642"/>
      <c r="AF306" s="642"/>
      <c r="AG306" s="642"/>
      <c r="AH306" s="642"/>
      <c r="AI306" s="642"/>
      <c r="AJ306" s="642"/>
      <c r="AK306" s="642"/>
      <c r="AL306" s="642"/>
      <c r="AM306" s="642"/>
      <c r="AN306" s="642"/>
      <c r="AO306" s="642"/>
      <c r="AP306" s="642"/>
      <c r="AQ306" s="642"/>
      <c r="AR306" s="642"/>
      <c r="AS306" s="642"/>
      <c r="AT306" s="642"/>
      <c r="AU306" s="642"/>
      <c r="AV306" s="642"/>
      <c r="AW306" s="642"/>
      <c r="AX306" s="642"/>
      <c r="AY306" s="642"/>
      <c r="AZ306" s="642"/>
      <c r="BA306" s="642"/>
      <c r="BB306" s="642"/>
      <c r="BC306" s="642"/>
      <c r="BD306" s="642"/>
      <c r="BE306" s="642"/>
      <c r="BF306" s="642"/>
      <c r="BG306" s="642"/>
      <c r="BH306" s="642"/>
      <c r="BI306" s="642"/>
      <c r="BJ306" s="642"/>
      <c r="BK306" s="642"/>
      <c r="BL306" s="642"/>
      <c r="BM306" s="642"/>
      <c r="BN306" s="642"/>
      <c r="BO306" s="642"/>
      <c r="BP306" s="642"/>
      <c r="BQ306" s="642"/>
      <c r="BR306" s="642"/>
      <c r="BS306" s="642"/>
      <c r="BT306" s="642"/>
      <c r="BU306" s="642"/>
      <c r="BV306" s="642"/>
      <c r="BW306" s="642"/>
      <c r="BX306" s="642"/>
      <c r="BY306" s="642"/>
      <c r="BZ306" s="642"/>
      <c r="CA306" s="642"/>
      <c r="CB306" s="642"/>
      <c r="CC306" s="642"/>
      <c r="CD306" s="642"/>
      <c r="CE306" s="642"/>
      <c r="CF306" s="642"/>
      <c r="CG306" s="642"/>
      <c r="CH306" s="642"/>
      <c r="CI306" s="642"/>
      <c r="CJ306" s="642"/>
      <c r="CK306" s="642"/>
      <c r="CL306" s="642"/>
      <c r="CM306" s="642"/>
      <c r="CN306" s="642"/>
      <c r="CO306" s="642"/>
      <c r="CP306" s="642"/>
      <c r="CQ306" s="642"/>
      <c r="CR306" s="642"/>
      <c r="CS306" s="642"/>
      <c r="CT306" s="642"/>
      <c r="CU306" s="642"/>
      <c r="CV306" s="642"/>
      <c r="CW306" s="642"/>
      <c r="CX306" s="642"/>
      <c r="CY306" s="642"/>
      <c r="CZ306" s="642"/>
      <c r="DA306" s="642"/>
      <c r="DB306" s="642"/>
      <c r="DC306" s="642"/>
      <c r="DD306" s="642"/>
      <c r="DE306" s="642"/>
      <c r="DF306" s="642"/>
      <c r="DG306" s="642"/>
      <c r="DH306" s="642"/>
      <c r="DI306" s="642"/>
      <c r="DJ306" s="642"/>
      <c r="DK306" s="642"/>
      <c r="DL306" s="642"/>
      <c r="DM306" s="642"/>
      <c r="DN306" s="642"/>
      <c r="DO306" s="642"/>
      <c r="DP306" s="642"/>
      <c r="DQ306" s="642"/>
      <c r="DR306" s="642"/>
      <c r="DS306" s="642"/>
      <c r="DT306" s="642"/>
      <c r="DU306" s="642"/>
      <c r="DV306" s="642"/>
      <c r="DW306" s="642"/>
      <c r="DX306" s="642"/>
      <c r="DY306" s="642"/>
      <c r="DZ306" s="642"/>
      <c r="EA306" s="642"/>
      <c r="EB306" s="642"/>
      <c r="EC306" s="642"/>
      <c r="ED306" s="642"/>
      <c r="EE306" s="642"/>
      <c r="EF306" s="642"/>
      <c r="EG306" s="642"/>
      <c r="EH306" s="642"/>
      <c r="EI306" s="642"/>
      <c r="EJ306" s="642"/>
      <c r="EK306" s="642"/>
      <c r="EL306" s="642"/>
      <c r="EM306" s="642"/>
      <c r="EN306" s="642"/>
      <c r="EO306" s="642"/>
      <c r="EP306" s="642"/>
      <c r="EQ306" s="642"/>
      <c r="ER306" s="642"/>
      <c r="ES306" s="642"/>
      <c r="ET306" s="642"/>
      <c r="EU306" s="642"/>
      <c r="EV306" s="642"/>
      <c r="EW306" s="642"/>
      <c r="EX306" s="642"/>
      <c r="EY306" s="642"/>
      <c r="EZ306" s="642"/>
      <c r="FA306" s="642"/>
      <c r="FB306" s="642"/>
      <c r="FC306" s="642"/>
      <c r="FD306" s="642"/>
      <c r="FE306" s="642"/>
      <c r="FF306" s="642"/>
      <c r="FG306" s="642"/>
      <c r="FH306" s="642"/>
      <c r="FI306" s="642"/>
      <c r="FJ306" s="642"/>
      <c r="FK306" s="642"/>
      <c r="FL306" s="642"/>
      <c r="FM306" s="642"/>
      <c r="FN306" s="642"/>
      <c r="FO306" s="642"/>
      <c r="FP306" s="642"/>
      <c r="FQ306" s="642"/>
      <c r="FR306" s="642"/>
      <c r="FS306" s="642"/>
      <c r="FT306" s="642"/>
      <c r="FU306" s="642"/>
      <c r="FV306" s="642"/>
      <c r="FW306" s="642"/>
      <c r="FX306" s="642"/>
      <c r="FY306" s="642"/>
      <c r="FZ306" s="642"/>
      <c r="GA306" s="642"/>
      <c r="GB306" s="642"/>
      <c r="GC306" s="642"/>
      <c r="GD306" s="642"/>
      <c r="GE306" s="642"/>
      <c r="GF306" s="642"/>
      <c r="GG306" s="642"/>
      <c r="GH306" s="642"/>
      <c r="GI306" s="642"/>
      <c r="GJ306" s="642"/>
      <c r="GK306" s="642"/>
      <c r="GL306" s="642"/>
      <c r="GM306" s="642"/>
      <c r="GN306" s="642"/>
      <c r="GO306" s="642"/>
      <c r="GP306" s="642"/>
      <c r="GQ306" s="642"/>
      <c r="GR306" s="642"/>
      <c r="GS306" s="642"/>
      <c r="GT306" s="642"/>
      <c r="GU306" s="642"/>
      <c r="GV306" s="642"/>
      <c r="GW306" s="642"/>
      <c r="GX306" s="642"/>
      <c r="GY306" s="642"/>
      <c r="GZ306" s="642"/>
      <c r="HA306" s="642"/>
      <c r="HB306" s="642"/>
      <c r="HC306" s="642"/>
      <c r="HD306" s="642"/>
      <c r="HE306" s="642"/>
      <c r="HF306" s="642"/>
      <c r="HG306" s="642"/>
      <c r="HH306" s="642"/>
      <c r="HI306" s="642"/>
      <c r="HJ306" s="642"/>
      <c r="HK306" s="642"/>
      <c r="HL306" s="642"/>
      <c r="HM306" s="642"/>
      <c r="HN306" s="642"/>
      <c r="HO306" s="642"/>
      <c r="HP306" s="642"/>
      <c r="HQ306" s="642"/>
      <c r="HR306" s="642"/>
      <c r="HS306" s="642"/>
      <c r="HT306" s="642"/>
      <c r="HU306" s="642"/>
      <c r="HV306" s="642"/>
      <c r="HW306" s="642"/>
      <c r="HX306" s="642"/>
      <c r="HY306" s="642"/>
      <c r="HZ306" s="642"/>
      <c r="IA306" s="642"/>
      <c r="IB306" s="642"/>
      <c r="IC306" s="642"/>
      <c r="ID306" s="642"/>
      <c r="IE306" s="642"/>
      <c r="IF306" s="642"/>
      <c r="IG306" s="642"/>
      <c r="IH306" s="642"/>
      <c r="II306" s="642"/>
      <c r="IJ306" s="642"/>
      <c r="IK306" s="642"/>
      <c r="IL306" s="642"/>
      <c r="IM306" s="642"/>
      <c r="IN306" s="642"/>
      <c r="IO306" s="642"/>
    </row>
    <row r="307" spans="1:249" ht="47.25" x14ac:dyDescent="0.25">
      <c r="A307" s="150" t="s">
        <v>620</v>
      </c>
      <c r="B307" s="463" t="s">
        <v>386</v>
      </c>
      <c r="C307" s="669">
        <v>19</v>
      </c>
      <c r="D307" s="669">
        <v>33.9</v>
      </c>
      <c r="E307" s="666">
        <v>100</v>
      </c>
      <c r="F307" s="556"/>
      <c r="G307" s="642"/>
      <c r="H307" s="642"/>
      <c r="I307" s="642"/>
      <c r="J307" s="642"/>
      <c r="K307" s="642"/>
      <c r="L307" s="642"/>
      <c r="M307" s="642"/>
      <c r="N307" s="642"/>
      <c r="O307" s="642"/>
      <c r="P307" s="642"/>
      <c r="Q307" s="642"/>
      <c r="R307" s="642"/>
      <c r="S307" s="642"/>
      <c r="T307" s="642"/>
      <c r="U307" s="642"/>
      <c r="V307" s="642"/>
      <c r="W307" s="642"/>
      <c r="X307" s="642"/>
      <c r="Y307" s="642"/>
      <c r="Z307" s="642"/>
      <c r="AA307" s="642"/>
      <c r="AB307" s="642"/>
      <c r="AC307" s="642"/>
      <c r="AD307" s="642"/>
      <c r="AE307" s="642"/>
      <c r="AF307" s="642"/>
      <c r="AG307" s="642"/>
      <c r="AH307" s="642"/>
      <c r="AI307" s="642"/>
      <c r="AJ307" s="642"/>
      <c r="AK307" s="642"/>
      <c r="AL307" s="642"/>
      <c r="AM307" s="642"/>
      <c r="AN307" s="642"/>
      <c r="AO307" s="642"/>
      <c r="AP307" s="642"/>
      <c r="AQ307" s="642"/>
      <c r="AR307" s="642"/>
      <c r="AS307" s="642"/>
      <c r="AT307" s="642"/>
      <c r="AU307" s="642"/>
      <c r="AV307" s="642"/>
      <c r="AW307" s="642"/>
      <c r="AX307" s="642"/>
      <c r="AY307" s="642"/>
      <c r="AZ307" s="642"/>
      <c r="BA307" s="642"/>
      <c r="BB307" s="642"/>
      <c r="BC307" s="642"/>
      <c r="BD307" s="642"/>
      <c r="BE307" s="642"/>
      <c r="BF307" s="642"/>
      <c r="BG307" s="642"/>
      <c r="BH307" s="642"/>
      <c r="BI307" s="642"/>
      <c r="BJ307" s="642"/>
      <c r="BK307" s="642"/>
      <c r="BL307" s="642"/>
      <c r="BM307" s="642"/>
      <c r="BN307" s="642"/>
      <c r="BO307" s="642"/>
      <c r="BP307" s="642"/>
      <c r="BQ307" s="642"/>
      <c r="BR307" s="642"/>
      <c r="BS307" s="642"/>
      <c r="BT307" s="642"/>
      <c r="BU307" s="642"/>
      <c r="BV307" s="642"/>
      <c r="BW307" s="642"/>
      <c r="BX307" s="642"/>
      <c r="BY307" s="642"/>
      <c r="BZ307" s="642"/>
      <c r="CA307" s="642"/>
      <c r="CB307" s="642"/>
      <c r="CC307" s="642"/>
      <c r="CD307" s="642"/>
      <c r="CE307" s="642"/>
      <c r="CF307" s="642"/>
      <c r="CG307" s="642"/>
      <c r="CH307" s="642"/>
      <c r="CI307" s="642"/>
      <c r="CJ307" s="642"/>
      <c r="CK307" s="642"/>
      <c r="CL307" s="642"/>
      <c r="CM307" s="642"/>
      <c r="CN307" s="642"/>
      <c r="CO307" s="642"/>
      <c r="CP307" s="642"/>
      <c r="CQ307" s="642"/>
      <c r="CR307" s="642"/>
      <c r="CS307" s="642"/>
      <c r="CT307" s="642"/>
      <c r="CU307" s="642"/>
      <c r="CV307" s="642"/>
      <c r="CW307" s="642"/>
      <c r="CX307" s="642"/>
      <c r="CY307" s="642"/>
      <c r="CZ307" s="642"/>
      <c r="DA307" s="642"/>
      <c r="DB307" s="642"/>
      <c r="DC307" s="642"/>
      <c r="DD307" s="642"/>
      <c r="DE307" s="642"/>
      <c r="DF307" s="642"/>
      <c r="DG307" s="642"/>
      <c r="DH307" s="642"/>
      <c r="DI307" s="642"/>
      <c r="DJ307" s="642"/>
      <c r="DK307" s="642"/>
      <c r="DL307" s="642"/>
      <c r="DM307" s="642"/>
      <c r="DN307" s="642"/>
      <c r="DO307" s="642"/>
      <c r="DP307" s="642"/>
      <c r="DQ307" s="642"/>
      <c r="DR307" s="642"/>
      <c r="DS307" s="642"/>
      <c r="DT307" s="642"/>
      <c r="DU307" s="642"/>
      <c r="DV307" s="642"/>
      <c r="DW307" s="642"/>
      <c r="DX307" s="642"/>
      <c r="DY307" s="642"/>
      <c r="DZ307" s="642"/>
      <c r="EA307" s="642"/>
      <c r="EB307" s="642"/>
      <c r="EC307" s="642"/>
      <c r="ED307" s="642"/>
      <c r="EE307" s="642"/>
      <c r="EF307" s="642"/>
      <c r="EG307" s="642"/>
      <c r="EH307" s="642"/>
      <c r="EI307" s="642"/>
      <c r="EJ307" s="642"/>
      <c r="EK307" s="642"/>
      <c r="EL307" s="642"/>
      <c r="EM307" s="642"/>
      <c r="EN307" s="642"/>
      <c r="EO307" s="642"/>
      <c r="EP307" s="642"/>
      <c r="EQ307" s="642"/>
      <c r="ER307" s="642"/>
      <c r="ES307" s="642"/>
      <c r="ET307" s="642"/>
      <c r="EU307" s="642"/>
      <c r="EV307" s="642"/>
      <c r="EW307" s="642"/>
      <c r="EX307" s="642"/>
      <c r="EY307" s="642"/>
      <c r="EZ307" s="642"/>
      <c r="FA307" s="642"/>
      <c r="FB307" s="642"/>
      <c r="FC307" s="642"/>
      <c r="FD307" s="642"/>
      <c r="FE307" s="642"/>
      <c r="FF307" s="642"/>
      <c r="FG307" s="642"/>
      <c r="FH307" s="642"/>
      <c r="FI307" s="642"/>
      <c r="FJ307" s="642"/>
      <c r="FK307" s="642"/>
      <c r="FL307" s="642"/>
      <c r="FM307" s="642"/>
      <c r="FN307" s="642"/>
      <c r="FO307" s="642"/>
      <c r="FP307" s="642"/>
      <c r="FQ307" s="642"/>
      <c r="FR307" s="642"/>
      <c r="FS307" s="642"/>
      <c r="FT307" s="642"/>
      <c r="FU307" s="642"/>
      <c r="FV307" s="642"/>
      <c r="FW307" s="642"/>
      <c r="FX307" s="642"/>
      <c r="FY307" s="642"/>
      <c r="FZ307" s="642"/>
      <c r="GA307" s="642"/>
      <c r="GB307" s="642"/>
      <c r="GC307" s="642"/>
      <c r="GD307" s="642"/>
      <c r="GE307" s="642"/>
      <c r="GF307" s="642"/>
      <c r="GG307" s="642"/>
      <c r="GH307" s="642"/>
      <c r="GI307" s="642"/>
      <c r="GJ307" s="642"/>
      <c r="GK307" s="642"/>
      <c r="GL307" s="642"/>
      <c r="GM307" s="642"/>
      <c r="GN307" s="642"/>
      <c r="GO307" s="642"/>
      <c r="GP307" s="642"/>
      <c r="GQ307" s="642"/>
      <c r="GR307" s="642"/>
      <c r="GS307" s="642"/>
      <c r="GT307" s="642"/>
      <c r="GU307" s="642"/>
      <c r="GV307" s="642"/>
      <c r="GW307" s="642"/>
      <c r="GX307" s="642"/>
      <c r="GY307" s="642"/>
      <c r="GZ307" s="642"/>
      <c r="HA307" s="642"/>
      <c r="HB307" s="642"/>
      <c r="HC307" s="642"/>
      <c r="HD307" s="642"/>
      <c r="HE307" s="642"/>
      <c r="HF307" s="642"/>
      <c r="HG307" s="642"/>
      <c r="HH307" s="642"/>
      <c r="HI307" s="642"/>
      <c r="HJ307" s="642"/>
      <c r="HK307" s="642"/>
      <c r="HL307" s="642"/>
      <c r="HM307" s="642"/>
      <c r="HN307" s="642"/>
      <c r="HO307" s="642"/>
      <c r="HP307" s="642"/>
      <c r="HQ307" s="642"/>
      <c r="HR307" s="642"/>
      <c r="HS307" s="642"/>
      <c r="HT307" s="642"/>
      <c r="HU307" s="642"/>
      <c r="HV307" s="642"/>
      <c r="HW307" s="642"/>
      <c r="HX307" s="642"/>
      <c r="HY307" s="642"/>
      <c r="HZ307" s="642"/>
      <c r="IA307" s="642"/>
      <c r="IB307" s="642"/>
      <c r="IC307" s="642"/>
      <c r="ID307" s="642"/>
      <c r="IE307" s="642"/>
      <c r="IF307" s="642"/>
      <c r="IG307" s="642"/>
      <c r="IH307" s="642"/>
      <c r="II307" s="642"/>
      <c r="IJ307" s="642"/>
      <c r="IK307" s="642"/>
      <c r="IL307" s="642"/>
      <c r="IM307" s="642"/>
      <c r="IN307" s="642"/>
      <c r="IO307" s="642"/>
    </row>
    <row r="308" spans="1:249" ht="31.5" x14ac:dyDescent="0.25">
      <c r="A308" s="150" t="s">
        <v>621</v>
      </c>
      <c r="B308" s="463" t="s">
        <v>386</v>
      </c>
      <c r="C308" s="669">
        <v>45</v>
      </c>
      <c r="D308" s="669">
        <v>64.400000000000006</v>
      </c>
      <c r="E308" s="666">
        <v>100</v>
      </c>
      <c r="F308" s="556"/>
      <c r="G308" s="642"/>
      <c r="H308" s="642"/>
      <c r="I308" s="642"/>
      <c r="J308" s="642"/>
      <c r="K308" s="642"/>
      <c r="L308" s="642"/>
      <c r="M308" s="642"/>
      <c r="N308" s="642"/>
      <c r="O308" s="642"/>
      <c r="P308" s="642"/>
      <c r="Q308" s="642"/>
      <c r="R308" s="642"/>
      <c r="S308" s="642"/>
      <c r="T308" s="642"/>
      <c r="U308" s="642"/>
      <c r="V308" s="642"/>
      <c r="W308" s="642"/>
      <c r="X308" s="642"/>
      <c r="Y308" s="642"/>
      <c r="Z308" s="642"/>
      <c r="AA308" s="642"/>
      <c r="AB308" s="642"/>
      <c r="AC308" s="642"/>
      <c r="AD308" s="642"/>
      <c r="AE308" s="642"/>
      <c r="AF308" s="642"/>
      <c r="AG308" s="642"/>
      <c r="AH308" s="642"/>
      <c r="AI308" s="642"/>
      <c r="AJ308" s="642"/>
      <c r="AK308" s="642"/>
      <c r="AL308" s="642"/>
      <c r="AM308" s="642"/>
      <c r="AN308" s="642"/>
      <c r="AO308" s="642"/>
      <c r="AP308" s="642"/>
      <c r="AQ308" s="642"/>
      <c r="AR308" s="642"/>
      <c r="AS308" s="642"/>
      <c r="AT308" s="642"/>
      <c r="AU308" s="642"/>
      <c r="AV308" s="642"/>
      <c r="AW308" s="642"/>
      <c r="AX308" s="642"/>
      <c r="AY308" s="642"/>
      <c r="AZ308" s="642"/>
      <c r="BA308" s="642"/>
      <c r="BB308" s="642"/>
      <c r="BC308" s="642"/>
      <c r="BD308" s="642"/>
      <c r="BE308" s="642"/>
      <c r="BF308" s="642"/>
      <c r="BG308" s="642"/>
      <c r="BH308" s="642"/>
      <c r="BI308" s="642"/>
      <c r="BJ308" s="642"/>
      <c r="BK308" s="642"/>
      <c r="BL308" s="642"/>
      <c r="BM308" s="642"/>
      <c r="BN308" s="642"/>
      <c r="BO308" s="642"/>
      <c r="BP308" s="642"/>
      <c r="BQ308" s="642"/>
      <c r="BR308" s="642"/>
      <c r="BS308" s="642"/>
      <c r="BT308" s="642"/>
      <c r="BU308" s="642"/>
      <c r="BV308" s="642"/>
      <c r="BW308" s="642"/>
      <c r="BX308" s="642"/>
      <c r="BY308" s="642"/>
      <c r="BZ308" s="642"/>
      <c r="CA308" s="642"/>
      <c r="CB308" s="642"/>
      <c r="CC308" s="642"/>
      <c r="CD308" s="642"/>
      <c r="CE308" s="642"/>
      <c r="CF308" s="642"/>
      <c r="CG308" s="642"/>
      <c r="CH308" s="642"/>
      <c r="CI308" s="642"/>
      <c r="CJ308" s="642"/>
      <c r="CK308" s="642"/>
      <c r="CL308" s="642"/>
      <c r="CM308" s="642"/>
      <c r="CN308" s="642"/>
      <c r="CO308" s="642"/>
      <c r="CP308" s="642"/>
      <c r="CQ308" s="642"/>
      <c r="CR308" s="642"/>
      <c r="CS308" s="642"/>
      <c r="CT308" s="642"/>
      <c r="CU308" s="642"/>
      <c r="CV308" s="642"/>
      <c r="CW308" s="642"/>
      <c r="CX308" s="642"/>
      <c r="CY308" s="642"/>
      <c r="CZ308" s="642"/>
      <c r="DA308" s="642"/>
      <c r="DB308" s="642"/>
      <c r="DC308" s="642"/>
      <c r="DD308" s="642"/>
      <c r="DE308" s="642"/>
      <c r="DF308" s="642"/>
      <c r="DG308" s="642"/>
      <c r="DH308" s="642"/>
      <c r="DI308" s="642"/>
      <c r="DJ308" s="642"/>
      <c r="DK308" s="642"/>
      <c r="DL308" s="642"/>
      <c r="DM308" s="642"/>
      <c r="DN308" s="642"/>
      <c r="DO308" s="642"/>
      <c r="DP308" s="642"/>
      <c r="DQ308" s="642"/>
      <c r="DR308" s="642"/>
      <c r="DS308" s="642"/>
      <c r="DT308" s="642"/>
      <c r="DU308" s="642"/>
      <c r="DV308" s="642"/>
      <c r="DW308" s="642"/>
      <c r="DX308" s="642"/>
      <c r="DY308" s="642"/>
      <c r="DZ308" s="642"/>
      <c r="EA308" s="642"/>
      <c r="EB308" s="642"/>
      <c r="EC308" s="642"/>
      <c r="ED308" s="642"/>
      <c r="EE308" s="642"/>
      <c r="EF308" s="642"/>
      <c r="EG308" s="642"/>
      <c r="EH308" s="642"/>
      <c r="EI308" s="642"/>
      <c r="EJ308" s="642"/>
      <c r="EK308" s="642"/>
      <c r="EL308" s="642"/>
      <c r="EM308" s="642"/>
      <c r="EN308" s="642"/>
      <c r="EO308" s="642"/>
      <c r="EP308" s="642"/>
      <c r="EQ308" s="642"/>
      <c r="ER308" s="642"/>
      <c r="ES308" s="642"/>
      <c r="ET308" s="642"/>
      <c r="EU308" s="642"/>
      <c r="EV308" s="642"/>
      <c r="EW308" s="642"/>
      <c r="EX308" s="642"/>
      <c r="EY308" s="642"/>
      <c r="EZ308" s="642"/>
      <c r="FA308" s="642"/>
      <c r="FB308" s="642"/>
      <c r="FC308" s="642"/>
      <c r="FD308" s="642"/>
      <c r="FE308" s="642"/>
      <c r="FF308" s="642"/>
      <c r="FG308" s="642"/>
      <c r="FH308" s="642"/>
      <c r="FI308" s="642"/>
      <c r="FJ308" s="642"/>
      <c r="FK308" s="642"/>
      <c r="FL308" s="642"/>
      <c r="FM308" s="642"/>
      <c r="FN308" s="642"/>
      <c r="FO308" s="642"/>
      <c r="FP308" s="642"/>
      <c r="FQ308" s="642"/>
      <c r="FR308" s="642"/>
      <c r="FS308" s="642"/>
      <c r="FT308" s="642"/>
      <c r="FU308" s="642"/>
      <c r="FV308" s="642"/>
      <c r="FW308" s="642"/>
      <c r="FX308" s="642"/>
      <c r="FY308" s="642"/>
      <c r="FZ308" s="642"/>
      <c r="GA308" s="642"/>
      <c r="GB308" s="642"/>
      <c r="GC308" s="642"/>
      <c r="GD308" s="642"/>
      <c r="GE308" s="642"/>
      <c r="GF308" s="642"/>
      <c r="GG308" s="642"/>
      <c r="GH308" s="642"/>
      <c r="GI308" s="642"/>
      <c r="GJ308" s="642"/>
      <c r="GK308" s="642"/>
      <c r="GL308" s="642"/>
      <c r="GM308" s="642"/>
      <c r="GN308" s="642"/>
      <c r="GO308" s="642"/>
      <c r="GP308" s="642"/>
      <c r="GQ308" s="642"/>
      <c r="GR308" s="642"/>
      <c r="GS308" s="642"/>
      <c r="GT308" s="642"/>
      <c r="GU308" s="642"/>
      <c r="GV308" s="642"/>
      <c r="GW308" s="642"/>
      <c r="GX308" s="642"/>
      <c r="GY308" s="642"/>
      <c r="GZ308" s="642"/>
      <c r="HA308" s="642"/>
      <c r="HB308" s="642"/>
      <c r="HC308" s="642"/>
      <c r="HD308" s="642"/>
      <c r="HE308" s="642"/>
      <c r="HF308" s="642"/>
      <c r="HG308" s="642"/>
      <c r="HH308" s="642"/>
      <c r="HI308" s="642"/>
      <c r="HJ308" s="642"/>
      <c r="HK308" s="642"/>
      <c r="HL308" s="642"/>
      <c r="HM308" s="642"/>
      <c r="HN308" s="642"/>
      <c r="HO308" s="642"/>
      <c r="HP308" s="642"/>
      <c r="HQ308" s="642"/>
      <c r="HR308" s="642"/>
      <c r="HS308" s="642"/>
      <c r="HT308" s="642"/>
      <c r="HU308" s="642"/>
      <c r="HV308" s="642"/>
      <c r="HW308" s="642"/>
      <c r="HX308" s="642"/>
      <c r="HY308" s="642"/>
      <c r="HZ308" s="642"/>
      <c r="IA308" s="642"/>
      <c r="IB308" s="642"/>
      <c r="IC308" s="642"/>
      <c r="ID308" s="642"/>
      <c r="IE308" s="642"/>
      <c r="IF308" s="642"/>
      <c r="IG308" s="642"/>
      <c r="IH308" s="642"/>
      <c r="II308" s="642"/>
      <c r="IJ308" s="642"/>
      <c r="IK308" s="642"/>
      <c r="IL308" s="642"/>
      <c r="IM308" s="642"/>
      <c r="IN308" s="642"/>
      <c r="IO308" s="642"/>
    </row>
    <row r="309" spans="1:249" x14ac:dyDescent="0.25">
      <c r="A309" s="772" t="s">
        <v>622</v>
      </c>
      <c r="B309" s="773"/>
      <c r="C309" s="773"/>
      <c r="D309" s="774"/>
      <c r="E309" s="557"/>
      <c r="F309" s="556"/>
      <c r="G309" s="642"/>
      <c r="H309" s="642"/>
      <c r="I309" s="642"/>
      <c r="J309" s="642"/>
      <c r="K309" s="642"/>
      <c r="L309" s="642"/>
      <c r="M309" s="642"/>
      <c r="N309" s="642"/>
      <c r="O309" s="642"/>
      <c r="P309" s="642"/>
      <c r="Q309" s="642"/>
      <c r="R309" s="642"/>
      <c r="S309" s="642"/>
      <c r="T309" s="642"/>
      <c r="U309" s="642"/>
      <c r="V309" s="642"/>
      <c r="W309" s="642"/>
      <c r="X309" s="642"/>
      <c r="Y309" s="642"/>
      <c r="Z309" s="642"/>
      <c r="AA309" s="642"/>
      <c r="AB309" s="642"/>
      <c r="AC309" s="642"/>
      <c r="AD309" s="642"/>
      <c r="AE309" s="642"/>
      <c r="AF309" s="642"/>
      <c r="AG309" s="642"/>
      <c r="AH309" s="642"/>
      <c r="AI309" s="642"/>
      <c r="AJ309" s="642"/>
      <c r="AK309" s="642"/>
      <c r="AL309" s="642"/>
      <c r="AM309" s="642"/>
      <c r="AN309" s="642"/>
      <c r="AO309" s="642"/>
      <c r="AP309" s="642"/>
      <c r="AQ309" s="642"/>
      <c r="AR309" s="642"/>
      <c r="AS309" s="642"/>
      <c r="AT309" s="642"/>
      <c r="AU309" s="642"/>
      <c r="AV309" s="642"/>
      <c r="AW309" s="642"/>
      <c r="AX309" s="642"/>
      <c r="AY309" s="642"/>
      <c r="AZ309" s="642"/>
      <c r="BA309" s="642"/>
      <c r="BB309" s="642"/>
      <c r="BC309" s="642"/>
      <c r="BD309" s="642"/>
      <c r="BE309" s="642"/>
      <c r="BF309" s="642"/>
      <c r="BG309" s="642"/>
      <c r="BH309" s="642"/>
      <c r="BI309" s="642"/>
      <c r="BJ309" s="642"/>
      <c r="BK309" s="642"/>
      <c r="BL309" s="642"/>
      <c r="BM309" s="642"/>
      <c r="BN309" s="642"/>
      <c r="BO309" s="642"/>
      <c r="BP309" s="642"/>
      <c r="BQ309" s="642"/>
      <c r="BR309" s="642"/>
      <c r="BS309" s="642"/>
      <c r="BT309" s="642"/>
      <c r="BU309" s="642"/>
      <c r="BV309" s="642"/>
      <c r="BW309" s="642"/>
      <c r="BX309" s="642"/>
      <c r="BY309" s="642"/>
      <c r="BZ309" s="642"/>
      <c r="CA309" s="642"/>
      <c r="CB309" s="642"/>
      <c r="CC309" s="642"/>
      <c r="CD309" s="642"/>
      <c r="CE309" s="642"/>
      <c r="CF309" s="642"/>
      <c r="CG309" s="642"/>
      <c r="CH309" s="642"/>
      <c r="CI309" s="642"/>
      <c r="CJ309" s="642"/>
      <c r="CK309" s="642"/>
      <c r="CL309" s="642"/>
      <c r="CM309" s="642"/>
      <c r="CN309" s="642"/>
      <c r="CO309" s="642"/>
      <c r="CP309" s="642"/>
      <c r="CQ309" s="642"/>
      <c r="CR309" s="642"/>
      <c r="CS309" s="642"/>
      <c r="CT309" s="642"/>
      <c r="CU309" s="642"/>
      <c r="CV309" s="642"/>
      <c r="CW309" s="642"/>
      <c r="CX309" s="642"/>
      <c r="CY309" s="642"/>
      <c r="CZ309" s="642"/>
      <c r="DA309" s="642"/>
      <c r="DB309" s="642"/>
      <c r="DC309" s="642"/>
      <c r="DD309" s="642"/>
      <c r="DE309" s="642"/>
      <c r="DF309" s="642"/>
      <c r="DG309" s="642"/>
      <c r="DH309" s="642"/>
      <c r="DI309" s="642"/>
      <c r="DJ309" s="642"/>
      <c r="DK309" s="642"/>
      <c r="DL309" s="642"/>
      <c r="DM309" s="642"/>
      <c r="DN309" s="642"/>
      <c r="DO309" s="642"/>
      <c r="DP309" s="642"/>
      <c r="DQ309" s="642"/>
      <c r="DR309" s="642"/>
      <c r="DS309" s="642"/>
      <c r="DT309" s="642"/>
      <c r="DU309" s="642"/>
      <c r="DV309" s="642"/>
      <c r="DW309" s="642"/>
      <c r="DX309" s="642"/>
      <c r="DY309" s="642"/>
      <c r="DZ309" s="642"/>
      <c r="EA309" s="642"/>
      <c r="EB309" s="642"/>
      <c r="EC309" s="642"/>
      <c r="ED309" s="642"/>
      <c r="EE309" s="642"/>
      <c r="EF309" s="642"/>
      <c r="EG309" s="642"/>
      <c r="EH309" s="642"/>
      <c r="EI309" s="642"/>
      <c r="EJ309" s="642"/>
      <c r="EK309" s="642"/>
      <c r="EL309" s="642"/>
      <c r="EM309" s="642"/>
      <c r="EN309" s="642"/>
      <c r="EO309" s="642"/>
      <c r="EP309" s="642"/>
      <c r="EQ309" s="642"/>
      <c r="ER309" s="642"/>
      <c r="ES309" s="642"/>
      <c r="ET309" s="642"/>
      <c r="EU309" s="642"/>
      <c r="EV309" s="642"/>
      <c r="EW309" s="642"/>
      <c r="EX309" s="642"/>
      <c r="EY309" s="642"/>
      <c r="EZ309" s="642"/>
      <c r="FA309" s="642"/>
      <c r="FB309" s="642"/>
      <c r="FC309" s="642"/>
      <c r="FD309" s="642"/>
      <c r="FE309" s="642"/>
      <c r="FF309" s="642"/>
      <c r="FG309" s="642"/>
      <c r="FH309" s="642"/>
      <c r="FI309" s="642"/>
      <c r="FJ309" s="642"/>
      <c r="FK309" s="642"/>
      <c r="FL309" s="642"/>
      <c r="FM309" s="642"/>
      <c r="FN309" s="642"/>
      <c r="FO309" s="642"/>
      <c r="FP309" s="642"/>
      <c r="FQ309" s="642"/>
      <c r="FR309" s="642"/>
      <c r="FS309" s="642"/>
      <c r="FT309" s="642"/>
      <c r="FU309" s="642"/>
      <c r="FV309" s="642"/>
      <c r="FW309" s="642"/>
      <c r="FX309" s="642"/>
      <c r="FY309" s="642"/>
      <c r="FZ309" s="642"/>
      <c r="GA309" s="642"/>
      <c r="GB309" s="642"/>
      <c r="GC309" s="642"/>
      <c r="GD309" s="642"/>
      <c r="GE309" s="642"/>
      <c r="GF309" s="642"/>
      <c r="GG309" s="642"/>
      <c r="GH309" s="642"/>
      <c r="GI309" s="642"/>
      <c r="GJ309" s="642"/>
      <c r="GK309" s="642"/>
      <c r="GL309" s="642"/>
      <c r="GM309" s="642"/>
      <c r="GN309" s="642"/>
      <c r="GO309" s="642"/>
      <c r="GP309" s="642"/>
      <c r="GQ309" s="642"/>
      <c r="GR309" s="642"/>
      <c r="GS309" s="642"/>
      <c r="GT309" s="642"/>
      <c r="GU309" s="642"/>
      <c r="GV309" s="642"/>
      <c r="GW309" s="642"/>
      <c r="GX309" s="642"/>
      <c r="GY309" s="642"/>
      <c r="GZ309" s="642"/>
      <c r="HA309" s="642"/>
      <c r="HB309" s="642"/>
      <c r="HC309" s="642"/>
      <c r="HD309" s="642"/>
      <c r="HE309" s="642"/>
      <c r="HF309" s="642"/>
      <c r="HG309" s="642"/>
      <c r="HH309" s="642"/>
      <c r="HI309" s="642"/>
      <c r="HJ309" s="642"/>
      <c r="HK309" s="642"/>
      <c r="HL309" s="642"/>
      <c r="HM309" s="642"/>
      <c r="HN309" s="642"/>
      <c r="HO309" s="642"/>
      <c r="HP309" s="642"/>
      <c r="HQ309" s="642"/>
      <c r="HR309" s="642"/>
      <c r="HS309" s="642"/>
      <c r="HT309" s="642"/>
      <c r="HU309" s="642"/>
      <c r="HV309" s="642"/>
      <c r="HW309" s="642"/>
      <c r="HX309" s="642"/>
      <c r="HY309" s="642"/>
      <c r="HZ309" s="642"/>
      <c r="IA309" s="642"/>
      <c r="IB309" s="642"/>
      <c r="IC309" s="642"/>
      <c r="ID309" s="642"/>
      <c r="IE309" s="642"/>
      <c r="IF309" s="642"/>
      <c r="IG309" s="642"/>
      <c r="IH309" s="642"/>
      <c r="II309" s="642"/>
      <c r="IJ309" s="642"/>
      <c r="IK309" s="642"/>
      <c r="IL309" s="642"/>
      <c r="IM309" s="642"/>
      <c r="IN309" s="642"/>
      <c r="IO309" s="642"/>
    </row>
    <row r="310" spans="1:249" ht="63" x14ac:dyDescent="0.25">
      <c r="A310" s="150" t="s">
        <v>623</v>
      </c>
      <c r="B310" s="670" t="s">
        <v>395</v>
      </c>
      <c r="C310" s="670">
        <v>1</v>
      </c>
      <c r="D310" s="670">
        <v>1</v>
      </c>
      <c r="E310" s="666">
        <f>D310/C310*100</f>
        <v>100</v>
      </c>
      <c r="F310" s="556"/>
      <c r="G310" s="642"/>
      <c r="H310" s="642"/>
      <c r="I310" s="642"/>
      <c r="J310" s="642"/>
      <c r="K310" s="642"/>
      <c r="L310" s="642"/>
      <c r="M310" s="642"/>
      <c r="N310" s="642"/>
      <c r="O310" s="642"/>
      <c r="P310" s="642"/>
      <c r="Q310" s="642"/>
      <c r="R310" s="642"/>
      <c r="S310" s="642"/>
      <c r="T310" s="642"/>
      <c r="U310" s="642"/>
      <c r="V310" s="642"/>
      <c r="W310" s="642"/>
      <c r="X310" s="642"/>
      <c r="Y310" s="642"/>
      <c r="Z310" s="642"/>
      <c r="AA310" s="642"/>
      <c r="AB310" s="642"/>
      <c r="AC310" s="642"/>
      <c r="AD310" s="642"/>
      <c r="AE310" s="642"/>
      <c r="AF310" s="642"/>
      <c r="AG310" s="642"/>
      <c r="AH310" s="642"/>
      <c r="AI310" s="642"/>
      <c r="AJ310" s="642"/>
      <c r="AK310" s="642"/>
      <c r="AL310" s="642"/>
      <c r="AM310" s="642"/>
      <c r="AN310" s="642"/>
      <c r="AO310" s="642"/>
      <c r="AP310" s="642"/>
      <c r="AQ310" s="642"/>
      <c r="AR310" s="642"/>
      <c r="AS310" s="642"/>
      <c r="AT310" s="642"/>
      <c r="AU310" s="642"/>
      <c r="AV310" s="642"/>
      <c r="AW310" s="642"/>
      <c r="AX310" s="642"/>
      <c r="AY310" s="642"/>
      <c r="AZ310" s="642"/>
      <c r="BA310" s="642"/>
      <c r="BB310" s="642"/>
      <c r="BC310" s="642"/>
      <c r="BD310" s="642"/>
      <c r="BE310" s="642"/>
      <c r="BF310" s="642"/>
      <c r="BG310" s="642"/>
      <c r="BH310" s="642"/>
      <c r="BI310" s="642"/>
      <c r="BJ310" s="642"/>
      <c r="BK310" s="642"/>
      <c r="BL310" s="642"/>
      <c r="BM310" s="642"/>
      <c r="BN310" s="642"/>
      <c r="BO310" s="642"/>
      <c r="BP310" s="642"/>
      <c r="BQ310" s="642"/>
      <c r="BR310" s="642"/>
      <c r="BS310" s="642"/>
      <c r="BT310" s="642"/>
      <c r="BU310" s="642"/>
      <c r="BV310" s="642"/>
      <c r="BW310" s="642"/>
      <c r="BX310" s="642"/>
      <c r="BY310" s="642"/>
      <c r="BZ310" s="642"/>
      <c r="CA310" s="642"/>
      <c r="CB310" s="642"/>
      <c r="CC310" s="642"/>
      <c r="CD310" s="642"/>
      <c r="CE310" s="642"/>
      <c r="CF310" s="642"/>
      <c r="CG310" s="642"/>
      <c r="CH310" s="642"/>
      <c r="CI310" s="642"/>
      <c r="CJ310" s="642"/>
      <c r="CK310" s="642"/>
      <c r="CL310" s="642"/>
      <c r="CM310" s="642"/>
      <c r="CN310" s="642"/>
      <c r="CO310" s="642"/>
      <c r="CP310" s="642"/>
      <c r="CQ310" s="642"/>
      <c r="CR310" s="642"/>
      <c r="CS310" s="642"/>
      <c r="CT310" s="642"/>
      <c r="CU310" s="642"/>
      <c r="CV310" s="642"/>
      <c r="CW310" s="642"/>
      <c r="CX310" s="642"/>
      <c r="CY310" s="642"/>
      <c r="CZ310" s="642"/>
      <c r="DA310" s="642"/>
      <c r="DB310" s="642"/>
      <c r="DC310" s="642"/>
      <c r="DD310" s="642"/>
      <c r="DE310" s="642"/>
      <c r="DF310" s="642"/>
      <c r="DG310" s="642"/>
      <c r="DH310" s="642"/>
      <c r="DI310" s="642"/>
      <c r="DJ310" s="642"/>
      <c r="DK310" s="642"/>
      <c r="DL310" s="642"/>
      <c r="DM310" s="642"/>
      <c r="DN310" s="642"/>
      <c r="DO310" s="642"/>
      <c r="DP310" s="642"/>
      <c r="DQ310" s="642"/>
      <c r="DR310" s="642"/>
      <c r="DS310" s="642"/>
      <c r="DT310" s="642"/>
      <c r="DU310" s="642"/>
      <c r="DV310" s="642"/>
      <c r="DW310" s="642"/>
      <c r="DX310" s="642"/>
      <c r="DY310" s="642"/>
      <c r="DZ310" s="642"/>
      <c r="EA310" s="642"/>
      <c r="EB310" s="642"/>
      <c r="EC310" s="642"/>
      <c r="ED310" s="642"/>
      <c r="EE310" s="642"/>
      <c r="EF310" s="642"/>
      <c r="EG310" s="642"/>
      <c r="EH310" s="642"/>
      <c r="EI310" s="642"/>
      <c r="EJ310" s="642"/>
      <c r="EK310" s="642"/>
      <c r="EL310" s="642"/>
      <c r="EM310" s="642"/>
      <c r="EN310" s="642"/>
      <c r="EO310" s="642"/>
      <c r="EP310" s="642"/>
      <c r="EQ310" s="642"/>
      <c r="ER310" s="642"/>
      <c r="ES310" s="642"/>
      <c r="ET310" s="642"/>
      <c r="EU310" s="642"/>
      <c r="EV310" s="642"/>
      <c r="EW310" s="642"/>
      <c r="EX310" s="642"/>
      <c r="EY310" s="642"/>
      <c r="EZ310" s="642"/>
      <c r="FA310" s="642"/>
      <c r="FB310" s="642"/>
      <c r="FC310" s="642"/>
      <c r="FD310" s="642"/>
      <c r="FE310" s="642"/>
      <c r="FF310" s="642"/>
      <c r="FG310" s="642"/>
      <c r="FH310" s="642"/>
      <c r="FI310" s="642"/>
      <c r="FJ310" s="642"/>
      <c r="FK310" s="642"/>
      <c r="FL310" s="642"/>
      <c r="FM310" s="642"/>
      <c r="FN310" s="642"/>
      <c r="FO310" s="642"/>
      <c r="FP310" s="642"/>
      <c r="FQ310" s="642"/>
      <c r="FR310" s="642"/>
      <c r="FS310" s="642"/>
      <c r="FT310" s="642"/>
      <c r="FU310" s="642"/>
      <c r="FV310" s="642"/>
      <c r="FW310" s="642"/>
      <c r="FX310" s="642"/>
      <c r="FY310" s="642"/>
      <c r="FZ310" s="642"/>
      <c r="GA310" s="642"/>
      <c r="GB310" s="642"/>
      <c r="GC310" s="642"/>
      <c r="GD310" s="642"/>
      <c r="GE310" s="642"/>
      <c r="GF310" s="642"/>
      <c r="GG310" s="642"/>
      <c r="GH310" s="642"/>
      <c r="GI310" s="642"/>
      <c r="GJ310" s="642"/>
      <c r="GK310" s="642"/>
      <c r="GL310" s="642"/>
      <c r="GM310" s="642"/>
      <c r="GN310" s="642"/>
      <c r="GO310" s="642"/>
      <c r="GP310" s="642"/>
      <c r="GQ310" s="642"/>
      <c r="GR310" s="642"/>
      <c r="GS310" s="642"/>
      <c r="GT310" s="642"/>
      <c r="GU310" s="642"/>
      <c r="GV310" s="642"/>
      <c r="GW310" s="642"/>
      <c r="GX310" s="642"/>
      <c r="GY310" s="642"/>
      <c r="GZ310" s="642"/>
      <c r="HA310" s="642"/>
      <c r="HB310" s="642"/>
      <c r="HC310" s="642"/>
      <c r="HD310" s="642"/>
      <c r="HE310" s="642"/>
      <c r="HF310" s="642"/>
      <c r="HG310" s="642"/>
      <c r="HH310" s="642"/>
      <c r="HI310" s="642"/>
      <c r="HJ310" s="642"/>
      <c r="HK310" s="642"/>
      <c r="HL310" s="642"/>
      <c r="HM310" s="642"/>
      <c r="HN310" s="642"/>
      <c r="HO310" s="642"/>
      <c r="HP310" s="642"/>
      <c r="HQ310" s="642"/>
      <c r="HR310" s="642"/>
      <c r="HS310" s="642"/>
      <c r="HT310" s="642"/>
      <c r="HU310" s="642"/>
      <c r="HV310" s="642"/>
      <c r="HW310" s="642"/>
      <c r="HX310" s="642"/>
      <c r="HY310" s="642"/>
      <c r="HZ310" s="642"/>
      <c r="IA310" s="642"/>
      <c r="IB310" s="642"/>
      <c r="IC310" s="642"/>
      <c r="ID310" s="642"/>
      <c r="IE310" s="642"/>
      <c r="IF310" s="642"/>
      <c r="IG310" s="642"/>
      <c r="IH310" s="642"/>
      <c r="II310" s="642"/>
      <c r="IJ310" s="642"/>
      <c r="IK310" s="642"/>
      <c r="IL310" s="642"/>
      <c r="IM310" s="642"/>
      <c r="IN310" s="642"/>
      <c r="IO310" s="642"/>
    </row>
    <row r="311" spans="1:249" ht="31.5" x14ac:dyDescent="0.25">
      <c r="A311" s="668" t="s">
        <v>624</v>
      </c>
      <c r="B311" s="463" t="s">
        <v>386</v>
      </c>
      <c r="C311" s="670">
        <v>80</v>
      </c>
      <c r="D311" s="669">
        <v>82.5</v>
      </c>
      <c r="E311" s="666">
        <v>100</v>
      </c>
      <c r="F311" s="556"/>
      <c r="G311" s="642"/>
      <c r="H311" s="642"/>
      <c r="I311" s="642"/>
      <c r="J311" s="642"/>
      <c r="K311" s="642"/>
      <c r="L311" s="642"/>
      <c r="M311" s="642"/>
      <c r="N311" s="642"/>
      <c r="O311" s="642"/>
      <c r="P311" s="642"/>
      <c r="Q311" s="642"/>
      <c r="R311" s="642"/>
      <c r="S311" s="642"/>
      <c r="T311" s="642"/>
      <c r="U311" s="642"/>
      <c r="V311" s="642"/>
      <c r="W311" s="642"/>
      <c r="X311" s="642"/>
      <c r="Y311" s="642"/>
      <c r="Z311" s="642"/>
      <c r="AA311" s="642"/>
      <c r="AB311" s="642"/>
      <c r="AC311" s="642"/>
      <c r="AD311" s="642"/>
      <c r="AE311" s="642"/>
      <c r="AF311" s="642"/>
      <c r="AG311" s="642"/>
      <c r="AH311" s="642"/>
      <c r="AI311" s="642"/>
      <c r="AJ311" s="642"/>
      <c r="AK311" s="642"/>
      <c r="AL311" s="642"/>
      <c r="AM311" s="642"/>
      <c r="AN311" s="642"/>
      <c r="AO311" s="642"/>
      <c r="AP311" s="642"/>
      <c r="AQ311" s="642"/>
      <c r="AR311" s="642"/>
      <c r="AS311" s="642"/>
      <c r="AT311" s="642"/>
      <c r="AU311" s="642"/>
      <c r="AV311" s="642"/>
      <c r="AW311" s="642"/>
      <c r="AX311" s="642"/>
      <c r="AY311" s="642"/>
      <c r="AZ311" s="642"/>
      <c r="BA311" s="642"/>
      <c r="BB311" s="642"/>
      <c r="BC311" s="642"/>
      <c r="BD311" s="642"/>
      <c r="BE311" s="642"/>
      <c r="BF311" s="642"/>
      <c r="BG311" s="642"/>
      <c r="BH311" s="642"/>
      <c r="BI311" s="642"/>
      <c r="BJ311" s="642"/>
      <c r="BK311" s="642"/>
      <c r="BL311" s="642"/>
      <c r="BM311" s="642"/>
      <c r="BN311" s="642"/>
      <c r="BO311" s="642"/>
      <c r="BP311" s="642"/>
      <c r="BQ311" s="642"/>
      <c r="BR311" s="642"/>
      <c r="BS311" s="642"/>
      <c r="BT311" s="642"/>
      <c r="BU311" s="642"/>
      <c r="BV311" s="642"/>
      <c r="BW311" s="642"/>
      <c r="BX311" s="642"/>
      <c r="BY311" s="642"/>
      <c r="BZ311" s="642"/>
      <c r="CA311" s="642"/>
      <c r="CB311" s="642"/>
      <c r="CC311" s="642"/>
      <c r="CD311" s="642"/>
      <c r="CE311" s="642"/>
      <c r="CF311" s="642"/>
      <c r="CG311" s="642"/>
      <c r="CH311" s="642"/>
      <c r="CI311" s="642"/>
      <c r="CJ311" s="642"/>
      <c r="CK311" s="642"/>
      <c r="CL311" s="642"/>
      <c r="CM311" s="642"/>
      <c r="CN311" s="642"/>
      <c r="CO311" s="642"/>
      <c r="CP311" s="642"/>
      <c r="CQ311" s="642"/>
      <c r="CR311" s="642"/>
      <c r="CS311" s="642"/>
      <c r="CT311" s="642"/>
      <c r="CU311" s="642"/>
      <c r="CV311" s="642"/>
      <c r="CW311" s="642"/>
      <c r="CX311" s="642"/>
      <c r="CY311" s="642"/>
      <c r="CZ311" s="642"/>
      <c r="DA311" s="642"/>
      <c r="DB311" s="642"/>
      <c r="DC311" s="642"/>
      <c r="DD311" s="642"/>
      <c r="DE311" s="642"/>
      <c r="DF311" s="642"/>
      <c r="DG311" s="642"/>
      <c r="DH311" s="642"/>
      <c r="DI311" s="642"/>
      <c r="DJ311" s="642"/>
      <c r="DK311" s="642"/>
      <c r="DL311" s="642"/>
      <c r="DM311" s="642"/>
      <c r="DN311" s="642"/>
      <c r="DO311" s="642"/>
      <c r="DP311" s="642"/>
      <c r="DQ311" s="642"/>
      <c r="DR311" s="642"/>
      <c r="DS311" s="642"/>
      <c r="DT311" s="642"/>
      <c r="DU311" s="642"/>
      <c r="DV311" s="642"/>
      <c r="DW311" s="642"/>
      <c r="DX311" s="642"/>
      <c r="DY311" s="642"/>
      <c r="DZ311" s="642"/>
      <c r="EA311" s="642"/>
      <c r="EB311" s="642"/>
      <c r="EC311" s="642"/>
      <c r="ED311" s="642"/>
      <c r="EE311" s="642"/>
      <c r="EF311" s="642"/>
      <c r="EG311" s="642"/>
      <c r="EH311" s="642"/>
      <c r="EI311" s="642"/>
      <c r="EJ311" s="642"/>
      <c r="EK311" s="642"/>
      <c r="EL311" s="642"/>
      <c r="EM311" s="642"/>
      <c r="EN311" s="642"/>
      <c r="EO311" s="642"/>
      <c r="EP311" s="642"/>
      <c r="EQ311" s="642"/>
      <c r="ER311" s="642"/>
      <c r="ES311" s="642"/>
      <c r="ET311" s="642"/>
      <c r="EU311" s="642"/>
      <c r="EV311" s="642"/>
      <c r="EW311" s="642"/>
      <c r="EX311" s="642"/>
      <c r="EY311" s="642"/>
      <c r="EZ311" s="642"/>
      <c r="FA311" s="642"/>
      <c r="FB311" s="642"/>
      <c r="FC311" s="642"/>
      <c r="FD311" s="642"/>
      <c r="FE311" s="642"/>
      <c r="FF311" s="642"/>
      <c r="FG311" s="642"/>
      <c r="FH311" s="642"/>
      <c r="FI311" s="642"/>
      <c r="FJ311" s="642"/>
      <c r="FK311" s="642"/>
      <c r="FL311" s="642"/>
      <c r="FM311" s="642"/>
      <c r="FN311" s="642"/>
      <c r="FO311" s="642"/>
      <c r="FP311" s="642"/>
      <c r="FQ311" s="642"/>
      <c r="FR311" s="642"/>
      <c r="FS311" s="642"/>
      <c r="FT311" s="642"/>
      <c r="FU311" s="642"/>
      <c r="FV311" s="642"/>
      <c r="FW311" s="642"/>
      <c r="FX311" s="642"/>
      <c r="FY311" s="642"/>
      <c r="FZ311" s="642"/>
      <c r="GA311" s="642"/>
      <c r="GB311" s="642"/>
      <c r="GC311" s="642"/>
      <c r="GD311" s="642"/>
      <c r="GE311" s="642"/>
      <c r="GF311" s="642"/>
      <c r="GG311" s="642"/>
      <c r="GH311" s="642"/>
      <c r="GI311" s="642"/>
      <c r="GJ311" s="642"/>
      <c r="GK311" s="642"/>
      <c r="GL311" s="642"/>
      <c r="GM311" s="642"/>
      <c r="GN311" s="642"/>
      <c r="GO311" s="642"/>
      <c r="GP311" s="642"/>
      <c r="GQ311" s="642"/>
      <c r="GR311" s="642"/>
      <c r="GS311" s="642"/>
      <c r="GT311" s="642"/>
      <c r="GU311" s="642"/>
      <c r="GV311" s="642"/>
      <c r="GW311" s="642"/>
      <c r="GX311" s="642"/>
      <c r="GY311" s="642"/>
      <c r="GZ311" s="642"/>
      <c r="HA311" s="642"/>
      <c r="HB311" s="642"/>
      <c r="HC311" s="642"/>
      <c r="HD311" s="642"/>
      <c r="HE311" s="642"/>
      <c r="HF311" s="642"/>
      <c r="HG311" s="642"/>
      <c r="HH311" s="642"/>
      <c r="HI311" s="642"/>
      <c r="HJ311" s="642"/>
      <c r="HK311" s="642"/>
      <c r="HL311" s="642"/>
      <c r="HM311" s="642"/>
      <c r="HN311" s="642"/>
      <c r="HO311" s="642"/>
      <c r="HP311" s="642"/>
      <c r="HQ311" s="642"/>
      <c r="HR311" s="642"/>
      <c r="HS311" s="642"/>
      <c r="HT311" s="642"/>
      <c r="HU311" s="642"/>
      <c r="HV311" s="642"/>
      <c r="HW311" s="642"/>
      <c r="HX311" s="642"/>
      <c r="HY311" s="642"/>
      <c r="HZ311" s="642"/>
      <c r="IA311" s="642"/>
      <c r="IB311" s="642"/>
      <c r="IC311" s="642"/>
      <c r="ID311" s="642"/>
      <c r="IE311" s="642"/>
      <c r="IF311" s="642"/>
      <c r="IG311" s="642"/>
      <c r="IH311" s="642"/>
      <c r="II311" s="642"/>
      <c r="IJ311" s="642"/>
      <c r="IK311" s="642"/>
      <c r="IL311" s="642"/>
      <c r="IM311" s="642"/>
      <c r="IN311" s="642"/>
      <c r="IO311" s="642"/>
    </row>
    <row r="312" spans="1:249" x14ac:dyDescent="0.25">
      <c r="A312" s="764" t="s">
        <v>625</v>
      </c>
      <c r="B312" s="764"/>
      <c r="C312" s="764"/>
      <c r="D312" s="764"/>
      <c r="E312" s="557"/>
      <c r="F312" s="556"/>
      <c r="G312" s="642"/>
      <c r="H312" s="642"/>
      <c r="I312" s="642"/>
      <c r="J312" s="642"/>
      <c r="K312" s="642"/>
      <c r="L312" s="642"/>
      <c r="M312" s="642"/>
      <c r="N312" s="642"/>
      <c r="O312" s="642"/>
      <c r="P312" s="642"/>
      <c r="Q312" s="642"/>
      <c r="R312" s="642"/>
      <c r="S312" s="642"/>
      <c r="T312" s="642"/>
      <c r="U312" s="642"/>
      <c r="V312" s="642"/>
      <c r="W312" s="642"/>
      <c r="X312" s="642"/>
      <c r="Y312" s="642"/>
      <c r="Z312" s="642"/>
      <c r="AA312" s="642"/>
      <c r="AB312" s="642"/>
      <c r="AC312" s="642"/>
      <c r="AD312" s="642"/>
      <c r="AE312" s="642"/>
      <c r="AF312" s="642"/>
      <c r="AG312" s="642"/>
      <c r="AH312" s="642"/>
      <c r="AI312" s="642"/>
      <c r="AJ312" s="642"/>
      <c r="AK312" s="642"/>
      <c r="AL312" s="642"/>
      <c r="AM312" s="642"/>
      <c r="AN312" s="642"/>
      <c r="AO312" s="642"/>
      <c r="AP312" s="642"/>
      <c r="AQ312" s="642"/>
      <c r="AR312" s="642"/>
      <c r="AS312" s="642"/>
      <c r="AT312" s="642"/>
      <c r="AU312" s="642"/>
      <c r="AV312" s="642"/>
      <c r="AW312" s="642"/>
      <c r="AX312" s="642"/>
      <c r="AY312" s="642"/>
      <c r="AZ312" s="642"/>
      <c r="BA312" s="642"/>
      <c r="BB312" s="642"/>
      <c r="BC312" s="642"/>
      <c r="BD312" s="642"/>
      <c r="BE312" s="642"/>
      <c r="BF312" s="642"/>
      <c r="BG312" s="642"/>
      <c r="BH312" s="642"/>
      <c r="BI312" s="642"/>
      <c r="BJ312" s="642"/>
      <c r="BK312" s="642"/>
      <c r="BL312" s="642"/>
      <c r="BM312" s="642"/>
      <c r="BN312" s="642"/>
      <c r="BO312" s="642"/>
      <c r="BP312" s="642"/>
      <c r="BQ312" s="642"/>
      <c r="BR312" s="642"/>
      <c r="BS312" s="642"/>
      <c r="BT312" s="642"/>
      <c r="BU312" s="642"/>
      <c r="BV312" s="642"/>
      <c r="BW312" s="642"/>
      <c r="BX312" s="642"/>
      <c r="BY312" s="642"/>
      <c r="BZ312" s="642"/>
      <c r="CA312" s="642"/>
      <c r="CB312" s="642"/>
      <c r="CC312" s="642"/>
      <c r="CD312" s="642"/>
      <c r="CE312" s="642"/>
      <c r="CF312" s="642"/>
      <c r="CG312" s="642"/>
      <c r="CH312" s="642"/>
      <c r="CI312" s="642"/>
      <c r="CJ312" s="642"/>
      <c r="CK312" s="642"/>
      <c r="CL312" s="642"/>
      <c r="CM312" s="642"/>
      <c r="CN312" s="642"/>
      <c r="CO312" s="642"/>
      <c r="CP312" s="642"/>
      <c r="CQ312" s="642"/>
      <c r="CR312" s="642"/>
      <c r="CS312" s="642"/>
      <c r="CT312" s="642"/>
      <c r="CU312" s="642"/>
      <c r="CV312" s="642"/>
      <c r="CW312" s="642"/>
      <c r="CX312" s="642"/>
      <c r="CY312" s="642"/>
      <c r="CZ312" s="642"/>
      <c r="DA312" s="642"/>
      <c r="DB312" s="642"/>
      <c r="DC312" s="642"/>
      <c r="DD312" s="642"/>
      <c r="DE312" s="642"/>
      <c r="DF312" s="642"/>
      <c r="DG312" s="642"/>
      <c r="DH312" s="642"/>
      <c r="DI312" s="642"/>
      <c r="DJ312" s="642"/>
      <c r="DK312" s="642"/>
      <c r="DL312" s="642"/>
      <c r="DM312" s="642"/>
      <c r="DN312" s="642"/>
      <c r="DO312" s="642"/>
      <c r="DP312" s="642"/>
      <c r="DQ312" s="642"/>
      <c r="DR312" s="642"/>
      <c r="DS312" s="642"/>
      <c r="DT312" s="642"/>
      <c r="DU312" s="642"/>
      <c r="DV312" s="642"/>
      <c r="DW312" s="642"/>
      <c r="DX312" s="642"/>
      <c r="DY312" s="642"/>
      <c r="DZ312" s="642"/>
      <c r="EA312" s="642"/>
      <c r="EB312" s="642"/>
      <c r="EC312" s="642"/>
      <c r="ED312" s="642"/>
      <c r="EE312" s="642"/>
      <c r="EF312" s="642"/>
      <c r="EG312" s="642"/>
      <c r="EH312" s="642"/>
      <c r="EI312" s="642"/>
      <c r="EJ312" s="642"/>
      <c r="EK312" s="642"/>
      <c r="EL312" s="642"/>
      <c r="EM312" s="642"/>
      <c r="EN312" s="642"/>
      <c r="EO312" s="642"/>
      <c r="EP312" s="642"/>
      <c r="EQ312" s="642"/>
      <c r="ER312" s="642"/>
      <c r="ES312" s="642"/>
      <c r="ET312" s="642"/>
      <c r="EU312" s="642"/>
      <c r="EV312" s="642"/>
      <c r="EW312" s="642"/>
      <c r="EX312" s="642"/>
      <c r="EY312" s="642"/>
      <c r="EZ312" s="642"/>
      <c r="FA312" s="642"/>
      <c r="FB312" s="642"/>
      <c r="FC312" s="642"/>
      <c r="FD312" s="642"/>
      <c r="FE312" s="642"/>
      <c r="FF312" s="642"/>
      <c r="FG312" s="642"/>
      <c r="FH312" s="642"/>
      <c r="FI312" s="642"/>
      <c r="FJ312" s="642"/>
      <c r="FK312" s="642"/>
      <c r="FL312" s="642"/>
      <c r="FM312" s="642"/>
      <c r="FN312" s="642"/>
      <c r="FO312" s="642"/>
      <c r="FP312" s="642"/>
      <c r="FQ312" s="642"/>
      <c r="FR312" s="642"/>
      <c r="FS312" s="642"/>
      <c r="FT312" s="642"/>
      <c r="FU312" s="642"/>
      <c r="FV312" s="642"/>
      <c r="FW312" s="642"/>
      <c r="FX312" s="642"/>
      <c r="FY312" s="642"/>
      <c r="FZ312" s="642"/>
      <c r="GA312" s="642"/>
      <c r="GB312" s="642"/>
      <c r="GC312" s="642"/>
      <c r="GD312" s="642"/>
      <c r="GE312" s="642"/>
      <c r="GF312" s="642"/>
      <c r="GG312" s="642"/>
      <c r="GH312" s="642"/>
      <c r="GI312" s="642"/>
      <c r="GJ312" s="642"/>
      <c r="GK312" s="642"/>
      <c r="GL312" s="642"/>
      <c r="GM312" s="642"/>
      <c r="GN312" s="642"/>
      <c r="GO312" s="642"/>
      <c r="GP312" s="642"/>
      <c r="GQ312" s="642"/>
      <c r="GR312" s="642"/>
      <c r="GS312" s="642"/>
      <c r="GT312" s="642"/>
      <c r="GU312" s="642"/>
      <c r="GV312" s="642"/>
      <c r="GW312" s="642"/>
      <c r="GX312" s="642"/>
      <c r="GY312" s="642"/>
      <c r="GZ312" s="642"/>
      <c r="HA312" s="642"/>
      <c r="HB312" s="642"/>
      <c r="HC312" s="642"/>
      <c r="HD312" s="642"/>
      <c r="HE312" s="642"/>
      <c r="HF312" s="642"/>
      <c r="HG312" s="642"/>
      <c r="HH312" s="642"/>
      <c r="HI312" s="642"/>
      <c r="HJ312" s="642"/>
      <c r="HK312" s="642"/>
      <c r="HL312" s="642"/>
      <c r="HM312" s="642"/>
      <c r="HN312" s="642"/>
      <c r="HO312" s="642"/>
      <c r="HP312" s="642"/>
      <c r="HQ312" s="642"/>
      <c r="HR312" s="642"/>
      <c r="HS312" s="642"/>
      <c r="HT312" s="642"/>
      <c r="HU312" s="642"/>
      <c r="HV312" s="642"/>
      <c r="HW312" s="642"/>
      <c r="HX312" s="642"/>
      <c r="HY312" s="642"/>
      <c r="HZ312" s="642"/>
      <c r="IA312" s="642"/>
      <c r="IB312" s="642"/>
      <c r="IC312" s="642"/>
      <c r="ID312" s="642"/>
      <c r="IE312" s="642"/>
      <c r="IF312" s="642"/>
      <c r="IG312" s="642"/>
      <c r="IH312" s="642"/>
      <c r="II312" s="642"/>
      <c r="IJ312" s="642"/>
      <c r="IK312" s="642"/>
      <c r="IL312" s="642"/>
      <c r="IM312" s="642"/>
      <c r="IN312" s="642"/>
      <c r="IO312" s="642"/>
    </row>
    <row r="313" spans="1:249" ht="47.25" x14ac:dyDescent="0.25">
      <c r="A313" s="150" t="s">
        <v>626</v>
      </c>
      <c r="B313" s="463" t="s">
        <v>386</v>
      </c>
      <c r="C313" s="669">
        <v>82</v>
      </c>
      <c r="D313" s="669">
        <v>82</v>
      </c>
      <c r="E313" s="666">
        <f>D313/C313*100</f>
        <v>100</v>
      </c>
      <c r="F313" s="556"/>
      <c r="G313" s="642"/>
      <c r="H313" s="642"/>
      <c r="I313" s="642"/>
      <c r="J313" s="642"/>
      <c r="K313" s="642"/>
      <c r="L313" s="642"/>
      <c r="M313" s="642"/>
      <c r="N313" s="642"/>
      <c r="O313" s="642"/>
      <c r="P313" s="642"/>
      <c r="Q313" s="642"/>
      <c r="R313" s="642"/>
      <c r="S313" s="642"/>
      <c r="T313" s="642"/>
      <c r="U313" s="642"/>
      <c r="V313" s="642"/>
      <c r="W313" s="642"/>
      <c r="X313" s="642"/>
      <c r="Y313" s="642"/>
      <c r="Z313" s="642"/>
      <c r="AA313" s="642"/>
      <c r="AB313" s="642"/>
      <c r="AC313" s="642"/>
      <c r="AD313" s="642"/>
      <c r="AE313" s="642"/>
      <c r="AF313" s="642"/>
      <c r="AG313" s="642"/>
      <c r="AH313" s="642"/>
      <c r="AI313" s="642"/>
      <c r="AJ313" s="642"/>
      <c r="AK313" s="642"/>
      <c r="AL313" s="642"/>
      <c r="AM313" s="642"/>
      <c r="AN313" s="642"/>
      <c r="AO313" s="642"/>
      <c r="AP313" s="642"/>
      <c r="AQ313" s="642"/>
      <c r="AR313" s="642"/>
      <c r="AS313" s="642"/>
      <c r="AT313" s="642"/>
      <c r="AU313" s="642"/>
      <c r="AV313" s="642"/>
      <c r="AW313" s="642"/>
      <c r="AX313" s="642"/>
      <c r="AY313" s="642"/>
      <c r="AZ313" s="642"/>
      <c r="BA313" s="642"/>
      <c r="BB313" s="642"/>
      <c r="BC313" s="642"/>
      <c r="BD313" s="642"/>
      <c r="BE313" s="642"/>
      <c r="BF313" s="642"/>
      <c r="BG313" s="642"/>
      <c r="BH313" s="642"/>
      <c r="BI313" s="642"/>
      <c r="BJ313" s="642"/>
      <c r="BK313" s="642"/>
      <c r="BL313" s="642"/>
      <c r="BM313" s="642"/>
      <c r="BN313" s="642"/>
      <c r="BO313" s="642"/>
      <c r="BP313" s="642"/>
      <c r="BQ313" s="642"/>
      <c r="BR313" s="642"/>
      <c r="BS313" s="642"/>
      <c r="BT313" s="642"/>
      <c r="BU313" s="642"/>
      <c r="BV313" s="642"/>
      <c r="BW313" s="642"/>
      <c r="BX313" s="642"/>
      <c r="BY313" s="642"/>
      <c r="BZ313" s="642"/>
      <c r="CA313" s="642"/>
      <c r="CB313" s="642"/>
      <c r="CC313" s="642"/>
      <c r="CD313" s="642"/>
      <c r="CE313" s="642"/>
      <c r="CF313" s="642"/>
      <c r="CG313" s="642"/>
      <c r="CH313" s="642"/>
      <c r="CI313" s="642"/>
      <c r="CJ313" s="642"/>
      <c r="CK313" s="642"/>
      <c r="CL313" s="642"/>
      <c r="CM313" s="642"/>
      <c r="CN313" s="642"/>
      <c r="CO313" s="642"/>
      <c r="CP313" s="642"/>
      <c r="CQ313" s="642"/>
      <c r="CR313" s="642"/>
      <c r="CS313" s="642"/>
      <c r="CT313" s="642"/>
      <c r="CU313" s="642"/>
      <c r="CV313" s="642"/>
      <c r="CW313" s="642"/>
      <c r="CX313" s="642"/>
      <c r="CY313" s="642"/>
      <c r="CZ313" s="642"/>
      <c r="DA313" s="642"/>
      <c r="DB313" s="642"/>
      <c r="DC313" s="642"/>
      <c r="DD313" s="642"/>
      <c r="DE313" s="642"/>
      <c r="DF313" s="642"/>
      <c r="DG313" s="642"/>
      <c r="DH313" s="642"/>
      <c r="DI313" s="642"/>
      <c r="DJ313" s="642"/>
      <c r="DK313" s="642"/>
      <c r="DL313" s="642"/>
      <c r="DM313" s="642"/>
      <c r="DN313" s="642"/>
      <c r="DO313" s="642"/>
      <c r="DP313" s="642"/>
      <c r="DQ313" s="642"/>
      <c r="DR313" s="642"/>
      <c r="DS313" s="642"/>
      <c r="DT313" s="642"/>
      <c r="DU313" s="642"/>
      <c r="DV313" s="642"/>
      <c r="DW313" s="642"/>
      <c r="DX313" s="642"/>
      <c r="DY313" s="642"/>
      <c r="DZ313" s="642"/>
      <c r="EA313" s="642"/>
      <c r="EB313" s="642"/>
      <c r="EC313" s="642"/>
      <c r="ED313" s="642"/>
      <c r="EE313" s="642"/>
      <c r="EF313" s="642"/>
      <c r="EG313" s="642"/>
      <c r="EH313" s="642"/>
      <c r="EI313" s="642"/>
      <c r="EJ313" s="642"/>
      <c r="EK313" s="642"/>
      <c r="EL313" s="642"/>
      <c r="EM313" s="642"/>
      <c r="EN313" s="642"/>
      <c r="EO313" s="642"/>
      <c r="EP313" s="642"/>
      <c r="EQ313" s="642"/>
      <c r="ER313" s="642"/>
      <c r="ES313" s="642"/>
      <c r="ET313" s="642"/>
      <c r="EU313" s="642"/>
      <c r="EV313" s="642"/>
      <c r="EW313" s="642"/>
      <c r="EX313" s="642"/>
      <c r="EY313" s="642"/>
      <c r="EZ313" s="642"/>
      <c r="FA313" s="642"/>
      <c r="FB313" s="642"/>
      <c r="FC313" s="642"/>
      <c r="FD313" s="642"/>
      <c r="FE313" s="642"/>
      <c r="FF313" s="642"/>
      <c r="FG313" s="642"/>
      <c r="FH313" s="642"/>
      <c r="FI313" s="642"/>
      <c r="FJ313" s="642"/>
      <c r="FK313" s="642"/>
      <c r="FL313" s="642"/>
      <c r="FM313" s="642"/>
      <c r="FN313" s="642"/>
      <c r="FO313" s="642"/>
      <c r="FP313" s="642"/>
      <c r="FQ313" s="642"/>
      <c r="FR313" s="642"/>
      <c r="FS313" s="642"/>
      <c r="FT313" s="642"/>
      <c r="FU313" s="642"/>
      <c r="FV313" s="642"/>
      <c r="FW313" s="642"/>
      <c r="FX313" s="642"/>
      <c r="FY313" s="642"/>
      <c r="FZ313" s="642"/>
      <c r="GA313" s="642"/>
      <c r="GB313" s="642"/>
      <c r="GC313" s="642"/>
      <c r="GD313" s="642"/>
      <c r="GE313" s="642"/>
      <c r="GF313" s="642"/>
      <c r="GG313" s="642"/>
      <c r="GH313" s="642"/>
      <c r="GI313" s="642"/>
      <c r="GJ313" s="642"/>
      <c r="GK313" s="642"/>
      <c r="GL313" s="642"/>
      <c r="GM313" s="642"/>
      <c r="GN313" s="642"/>
      <c r="GO313" s="642"/>
      <c r="GP313" s="642"/>
      <c r="GQ313" s="642"/>
      <c r="GR313" s="642"/>
      <c r="GS313" s="642"/>
      <c r="GT313" s="642"/>
      <c r="GU313" s="642"/>
      <c r="GV313" s="642"/>
      <c r="GW313" s="642"/>
      <c r="GX313" s="642"/>
      <c r="GY313" s="642"/>
      <c r="GZ313" s="642"/>
      <c r="HA313" s="642"/>
      <c r="HB313" s="642"/>
      <c r="HC313" s="642"/>
      <c r="HD313" s="642"/>
      <c r="HE313" s="642"/>
      <c r="HF313" s="642"/>
      <c r="HG313" s="642"/>
      <c r="HH313" s="642"/>
      <c r="HI313" s="642"/>
      <c r="HJ313" s="642"/>
      <c r="HK313" s="642"/>
      <c r="HL313" s="642"/>
      <c r="HM313" s="642"/>
      <c r="HN313" s="642"/>
      <c r="HO313" s="642"/>
      <c r="HP313" s="642"/>
      <c r="HQ313" s="642"/>
      <c r="HR313" s="642"/>
      <c r="HS313" s="642"/>
      <c r="HT313" s="642"/>
      <c r="HU313" s="642"/>
      <c r="HV313" s="642"/>
      <c r="HW313" s="642"/>
      <c r="HX313" s="642"/>
      <c r="HY313" s="642"/>
      <c r="HZ313" s="642"/>
      <c r="IA313" s="642"/>
      <c r="IB313" s="642"/>
      <c r="IC313" s="642"/>
      <c r="ID313" s="642"/>
      <c r="IE313" s="642"/>
      <c r="IF313" s="642"/>
      <c r="IG313" s="642"/>
      <c r="IH313" s="642"/>
      <c r="II313" s="642"/>
      <c r="IJ313" s="642"/>
      <c r="IK313" s="642"/>
      <c r="IL313" s="642"/>
      <c r="IM313" s="642"/>
      <c r="IN313" s="642"/>
      <c r="IO313" s="642"/>
    </row>
    <row r="314" spans="1:249" ht="38.25" customHeight="1" x14ac:dyDescent="0.25">
      <c r="A314" s="150" t="s">
        <v>627</v>
      </c>
      <c r="B314" s="463" t="s">
        <v>386</v>
      </c>
      <c r="C314" s="669">
        <v>95</v>
      </c>
      <c r="D314" s="669">
        <v>100</v>
      </c>
      <c r="E314" s="666">
        <v>100</v>
      </c>
      <c r="F314" s="556"/>
      <c r="G314" s="642"/>
      <c r="H314" s="642"/>
      <c r="I314" s="642"/>
      <c r="J314" s="642"/>
      <c r="K314" s="642"/>
      <c r="L314" s="642"/>
      <c r="M314" s="642"/>
      <c r="N314" s="642"/>
      <c r="O314" s="642"/>
      <c r="P314" s="642"/>
      <c r="Q314" s="642"/>
      <c r="R314" s="642"/>
      <c r="S314" s="642"/>
      <c r="T314" s="642"/>
      <c r="U314" s="642"/>
      <c r="V314" s="642"/>
      <c r="W314" s="642"/>
      <c r="X314" s="642"/>
      <c r="Y314" s="642"/>
      <c r="Z314" s="642"/>
      <c r="AA314" s="642"/>
      <c r="AB314" s="642"/>
      <c r="AC314" s="642"/>
      <c r="AD314" s="642"/>
      <c r="AE314" s="642"/>
      <c r="AF314" s="642"/>
      <c r="AG314" s="642"/>
      <c r="AH314" s="642"/>
      <c r="AI314" s="642"/>
      <c r="AJ314" s="642"/>
      <c r="AK314" s="642"/>
      <c r="AL314" s="642"/>
      <c r="AM314" s="642"/>
      <c r="AN314" s="642"/>
      <c r="AO314" s="642"/>
      <c r="AP314" s="642"/>
      <c r="AQ314" s="642"/>
      <c r="AR314" s="642"/>
      <c r="AS314" s="642"/>
      <c r="AT314" s="642"/>
      <c r="AU314" s="642"/>
      <c r="AV314" s="642"/>
      <c r="AW314" s="642"/>
      <c r="AX314" s="642"/>
      <c r="AY314" s="642"/>
      <c r="AZ314" s="642"/>
      <c r="BA314" s="642"/>
      <c r="BB314" s="642"/>
      <c r="BC314" s="642"/>
      <c r="BD314" s="642"/>
      <c r="BE314" s="642"/>
      <c r="BF314" s="642"/>
      <c r="BG314" s="642"/>
      <c r="BH314" s="642"/>
      <c r="BI314" s="642"/>
      <c r="BJ314" s="642"/>
      <c r="BK314" s="642"/>
      <c r="BL314" s="642"/>
      <c r="BM314" s="642"/>
      <c r="BN314" s="642"/>
      <c r="BO314" s="642"/>
      <c r="BP314" s="642"/>
      <c r="BQ314" s="642"/>
      <c r="BR314" s="642"/>
      <c r="BS314" s="642"/>
      <c r="BT314" s="642"/>
      <c r="BU314" s="642"/>
      <c r="BV314" s="642"/>
      <c r="BW314" s="642"/>
      <c r="BX314" s="642"/>
      <c r="BY314" s="642"/>
      <c r="BZ314" s="642"/>
      <c r="CA314" s="642"/>
      <c r="CB314" s="642"/>
      <c r="CC314" s="642"/>
      <c r="CD314" s="642"/>
      <c r="CE314" s="642"/>
      <c r="CF314" s="642"/>
      <c r="CG314" s="642"/>
      <c r="CH314" s="642"/>
      <c r="CI314" s="642"/>
      <c r="CJ314" s="642"/>
      <c r="CK314" s="642"/>
      <c r="CL314" s="642"/>
      <c r="CM314" s="642"/>
      <c r="CN314" s="642"/>
      <c r="CO314" s="642"/>
      <c r="CP314" s="642"/>
      <c r="CQ314" s="642"/>
      <c r="CR314" s="642"/>
      <c r="CS314" s="642"/>
      <c r="CT314" s="642"/>
      <c r="CU314" s="642"/>
      <c r="CV314" s="642"/>
      <c r="CW314" s="642"/>
      <c r="CX314" s="642"/>
      <c r="CY314" s="642"/>
      <c r="CZ314" s="642"/>
      <c r="DA314" s="642"/>
      <c r="DB314" s="642"/>
      <c r="DC314" s="642"/>
      <c r="DD314" s="642"/>
      <c r="DE314" s="642"/>
      <c r="DF314" s="642"/>
      <c r="DG314" s="642"/>
      <c r="DH314" s="642"/>
      <c r="DI314" s="642"/>
      <c r="DJ314" s="642"/>
      <c r="DK314" s="642"/>
      <c r="DL314" s="642"/>
      <c r="DM314" s="642"/>
      <c r="DN314" s="642"/>
      <c r="DO314" s="642"/>
      <c r="DP314" s="642"/>
      <c r="DQ314" s="642"/>
      <c r="DR314" s="642"/>
      <c r="DS314" s="642"/>
      <c r="DT314" s="642"/>
      <c r="DU314" s="642"/>
      <c r="DV314" s="642"/>
      <c r="DW314" s="642"/>
      <c r="DX314" s="642"/>
      <c r="DY314" s="642"/>
      <c r="DZ314" s="642"/>
      <c r="EA314" s="642"/>
      <c r="EB314" s="642"/>
      <c r="EC314" s="642"/>
      <c r="ED314" s="642"/>
      <c r="EE314" s="642"/>
      <c r="EF314" s="642"/>
      <c r="EG314" s="642"/>
      <c r="EH314" s="642"/>
      <c r="EI314" s="642"/>
      <c r="EJ314" s="642"/>
      <c r="EK314" s="642"/>
      <c r="EL314" s="642"/>
      <c r="EM314" s="642"/>
      <c r="EN314" s="642"/>
      <c r="EO314" s="642"/>
      <c r="EP314" s="642"/>
      <c r="EQ314" s="642"/>
      <c r="ER314" s="642"/>
      <c r="ES314" s="642"/>
      <c r="ET314" s="642"/>
      <c r="EU314" s="642"/>
      <c r="EV314" s="642"/>
      <c r="EW314" s="642"/>
      <c r="EX314" s="642"/>
      <c r="EY314" s="642"/>
      <c r="EZ314" s="642"/>
      <c r="FA314" s="642"/>
      <c r="FB314" s="642"/>
      <c r="FC314" s="642"/>
      <c r="FD314" s="642"/>
      <c r="FE314" s="642"/>
      <c r="FF314" s="642"/>
      <c r="FG314" s="642"/>
      <c r="FH314" s="642"/>
      <c r="FI314" s="642"/>
      <c r="FJ314" s="642"/>
      <c r="FK314" s="642"/>
      <c r="FL314" s="642"/>
      <c r="FM314" s="642"/>
      <c r="FN314" s="642"/>
      <c r="FO314" s="642"/>
      <c r="FP314" s="642"/>
      <c r="FQ314" s="642"/>
      <c r="FR314" s="642"/>
      <c r="FS314" s="642"/>
      <c r="FT314" s="642"/>
      <c r="FU314" s="642"/>
      <c r="FV314" s="642"/>
      <c r="FW314" s="642"/>
      <c r="FX314" s="642"/>
      <c r="FY314" s="642"/>
      <c r="FZ314" s="642"/>
      <c r="GA314" s="642"/>
      <c r="GB314" s="642"/>
      <c r="GC314" s="642"/>
      <c r="GD314" s="642"/>
      <c r="GE314" s="642"/>
      <c r="GF314" s="642"/>
      <c r="GG314" s="642"/>
      <c r="GH314" s="642"/>
      <c r="GI314" s="642"/>
      <c r="GJ314" s="642"/>
      <c r="GK314" s="642"/>
      <c r="GL314" s="642"/>
      <c r="GM314" s="642"/>
      <c r="GN314" s="642"/>
      <c r="GO314" s="642"/>
      <c r="GP314" s="642"/>
      <c r="GQ314" s="642"/>
      <c r="GR314" s="642"/>
      <c r="GS314" s="642"/>
      <c r="GT314" s="642"/>
      <c r="GU314" s="642"/>
      <c r="GV314" s="642"/>
      <c r="GW314" s="642"/>
      <c r="GX314" s="642"/>
      <c r="GY314" s="642"/>
      <c r="GZ314" s="642"/>
      <c r="HA314" s="642"/>
      <c r="HB314" s="642"/>
      <c r="HC314" s="642"/>
      <c r="HD314" s="642"/>
      <c r="HE314" s="642"/>
      <c r="HF314" s="642"/>
      <c r="HG314" s="642"/>
      <c r="HH314" s="642"/>
      <c r="HI314" s="642"/>
      <c r="HJ314" s="642"/>
      <c r="HK314" s="642"/>
      <c r="HL314" s="642"/>
      <c r="HM314" s="642"/>
      <c r="HN314" s="642"/>
      <c r="HO314" s="642"/>
      <c r="HP314" s="642"/>
      <c r="HQ314" s="642"/>
      <c r="HR314" s="642"/>
      <c r="HS314" s="642"/>
      <c r="HT314" s="642"/>
      <c r="HU314" s="642"/>
      <c r="HV314" s="642"/>
      <c r="HW314" s="642"/>
      <c r="HX314" s="642"/>
      <c r="HY314" s="642"/>
      <c r="HZ314" s="642"/>
      <c r="IA314" s="642"/>
      <c r="IB314" s="642"/>
      <c r="IC314" s="642"/>
      <c r="ID314" s="642"/>
      <c r="IE314" s="642"/>
      <c r="IF314" s="642"/>
      <c r="IG314" s="642"/>
      <c r="IH314" s="642"/>
      <c r="II314" s="642"/>
      <c r="IJ314" s="642"/>
      <c r="IK314" s="642"/>
      <c r="IL314" s="642"/>
      <c r="IM314" s="642"/>
      <c r="IN314" s="642"/>
      <c r="IO314" s="642"/>
    </row>
    <row r="315" spans="1:249" hidden="1" x14ac:dyDescent="0.25">
      <c r="A315" s="671"/>
      <c r="B315" s="672"/>
      <c r="C315" s="672"/>
      <c r="D315" s="673"/>
      <c r="E315" s="674"/>
      <c r="F315" s="675"/>
    </row>
    <row r="316" spans="1:249" ht="31.5" hidden="1" x14ac:dyDescent="0.25">
      <c r="A316" s="676" t="s">
        <v>628</v>
      </c>
      <c r="B316" s="677" t="s">
        <v>386</v>
      </c>
      <c r="C316" s="677">
        <v>19</v>
      </c>
      <c r="D316" s="678"/>
      <c r="E316" s="519">
        <f t="shared" ref="E316:E372" si="22">SUM(D316/C316*100)</f>
        <v>0</v>
      </c>
      <c r="F316" s="523"/>
    </row>
    <row r="317" spans="1:249" hidden="1" x14ac:dyDescent="0.25">
      <c r="A317" s="676" t="s">
        <v>629</v>
      </c>
      <c r="B317" s="677" t="s">
        <v>395</v>
      </c>
      <c r="C317" s="677">
        <v>1</v>
      </c>
      <c r="D317" s="678"/>
      <c r="E317" s="519">
        <f t="shared" si="22"/>
        <v>0</v>
      </c>
      <c r="F317" s="523"/>
    </row>
    <row r="318" spans="1:249" ht="18.75" hidden="1" x14ac:dyDescent="0.25">
      <c r="A318" s="676" t="s">
        <v>630</v>
      </c>
      <c r="B318" s="677" t="s">
        <v>1128</v>
      </c>
      <c r="C318" s="677">
        <v>84</v>
      </c>
      <c r="D318" s="678"/>
      <c r="E318" s="519">
        <f t="shared" si="22"/>
        <v>0</v>
      </c>
      <c r="F318" s="523"/>
    </row>
    <row r="319" spans="1:249" hidden="1" x14ac:dyDescent="0.25">
      <c r="A319" s="765" t="s">
        <v>631</v>
      </c>
      <c r="B319" s="766"/>
      <c r="C319" s="766"/>
      <c r="D319" s="766"/>
      <c r="E319" s="767"/>
      <c r="F319" s="523"/>
    </row>
    <row r="320" spans="1:249" hidden="1" x14ac:dyDescent="0.25">
      <c r="A320" s="677" t="s">
        <v>632</v>
      </c>
      <c r="B320" s="677" t="s">
        <v>386</v>
      </c>
      <c r="C320" s="677"/>
      <c r="D320" s="678"/>
      <c r="E320" s="519">
        <v>0</v>
      </c>
      <c r="F320" s="523"/>
    </row>
    <row r="321" spans="1:6" hidden="1" x14ac:dyDescent="0.25">
      <c r="A321" s="676" t="s">
        <v>633</v>
      </c>
      <c r="B321" s="677" t="s">
        <v>634</v>
      </c>
      <c r="C321" s="677">
        <v>24</v>
      </c>
      <c r="D321" s="678"/>
      <c r="E321" s="519">
        <f t="shared" si="22"/>
        <v>0</v>
      </c>
      <c r="F321" s="523"/>
    </row>
    <row r="322" spans="1:6" ht="18.75" hidden="1" x14ac:dyDescent="0.25">
      <c r="A322" s="676" t="s">
        <v>635</v>
      </c>
      <c r="B322" s="677" t="s">
        <v>1129</v>
      </c>
      <c r="C322" s="677">
        <v>0</v>
      </c>
      <c r="D322" s="678"/>
      <c r="E322" s="519">
        <v>0</v>
      </c>
      <c r="F322" s="523"/>
    </row>
    <row r="323" spans="1:6" hidden="1" x14ac:dyDescent="0.25">
      <c r="A323" s="676" t="s">
        <v>636</v>
      </c>
      <c r="B323" s="677" t="s">
        <v>386</v>
      </c>
      <c r="C323" s="677">
        <v>18</v>
      </c>
      <c r="D323" s="678"/>
      <c r="E323" s="519">
        <f t="shared" si="22"/>
        <v>0</v>
      </c>
      <c r="F323" s="523"/>
    </row>
    <row r="324" spans="1:6" hidden="1" x14ac:dyDescent="0.25">
      <c r="A324" s="676" t="s">
        <v>637</v>
      </c>
      <c r="B324" s="677" t="s">
        <v>386</v>
      </c>
      <c r="C324" s="677">
        <v>0</v>
      </c>
      <c r="D324" s="678"/>
      <c r="E324" s="519">
        <v>0</v>
      </c>
      <c r="F324" s="523"/>
    </row>
    <row r="325" spans="1:6" hidden="1" x14ac:dyDescent="0.25">
      <c r="A325" s="676" t="s">
        <v>638</v>
      </c>
      <c r="B325" s="677" t="s">
        <v>386</v>
      </c>
      <c r="C325" s="677">
        <v>11</v>
      </c>
      <c r="D325" s="678"/>
      <c r="E325" s="519">
        <f t="shared" si="22"/>
        <v>0</v>
      </c>
      <c r="F325" s="523"/>
    </row>
    <row r="326" spans="1:6" hidden="1" x14ac:dyDescent="0.25">
      <c r="A326" s="676" t="s">
        <v>639</v>
      </c>
      <c r="B326" s="677" t="s">
        <v>386</v>
      </c>
      <c r="C326" s="677">
        <v>10</v>
      </c>
      <c r="D326" s="678"/>
      <c r="E326" s="519">
        <f t="shared" si="22"/>
        <v>0</v>
      </c>
      <c r="F326" s="523"/>
    </row>
    <row r="327" spans="1:6" hidden="1" x14ac:dyDescent="0.25">
      <c r="A327" s="676" t="s">
        <v>640</v>
      </c>
      <c r="B327" s="677" t="s">
        <v>386</v>
      </c>
      <c r="C327" s="677">
        <v>40</v>
      </c>
      <c r="D327" s="678"/>
      <c r="E327" s="519">
        <f t="shared" si="22"/>
        <v>0</v>
      </c>
      <c r="F327" s="523"/>
    </row>
    <row r="328" spans="1:6" ht="31.5" hidden="1" x14ac:dyDescent="0.25">
      <c r="A328" s="676" t="s">
        <v>628</v>
      </c>
      <c r="B328" s="677" t="s">
        <v>386</v>
      </c>
      <c r="C328" s="677">
        <v>28</v>
      </c>
      <c r="D328" s="678"/>
      <c r="E328" s="519">
        <f t="shared" si="22"/>
        <v>0</v>
      </c>
      <c r="F328" s="523"/>
    </row>
    <row r="329" spans="1:6" hidden="1" x14ac:dyDescent="0.25">
      <c r="A329" s="676" t="s">
        <v>629</v>
      </c>
      <c r="B329" s="677" t="s">
        <v>395</v>
      </c>
      <c r="C329" s="677">
        <v>0</v>
      </c>
      <c r="D329" s="678"/>
      <c r="E329" s="519">
        <v>0</v>
      </c>
      <c r="F329" s="523"/>
    </row>
    <row r="330" spans="1:6" ht="34.5" hidden="1" x14ac:dyDescent="0.25">
      <c r="A330" s="676" t="s">
        <v>641</v>
      </c>
      <c r="B330" s="677" t="s">
        <v>1130</v>
      </c>
      <c r="C330" s="677">
        <v>77</v>
      </c>
      <c r="D330" s="678"/>
      <c r="E330" s="519">
        <f t="shared" si="22"/>
        <v>0</v>
      </c>
      <c r="F330" s="523"/>
    </row>
    <row r="331" spans="1:6" ht="18.75" hidden="1" x14ac:dyDescent="0.25">
      <c r="A331" s="676" t="s">
        <v>642</v>
      </c>
      <c r="B331" s="677" t="s">
        <v>1131</v>
      </c>
      <c r="C331" s="677">
        <v>31287</v>
      </c>
      <c r="D331" s="679"/>
      <c r="E331" s="519">
        <f t="shared" si="22"/>
        <v>0</v>
      </c>
      <c r="F331" s="523"/>
    </row>
    <row r="332" spans="1:6" ht="31.5" hidden="1" x14ac:dyDescent="0.25">
      <c r="A332" s="676" t="s">
        <v>643</v>
      </c>
      <c r="B332" s="677" t="s">
        <v>1132</v>
      </c>
      <c r="C332" s="677">
        <v>2</v>
      </c>
      <c r="D332" s="678"/>
      <c r="E332" s="519">
        <f t="shared" si="22"/>
        <v>0</v>
      </c>
      <c r="F332" s="523"/>
    </row>
    <row r="333" spans="1:6" hidden="1" x14ac:dyDescent="0.25">
      <c r="A333" s="768" t="s">
        <v>644</v>
      </c>
      <c r="B333" s="769"/>
      <c r="C333" s="769"/>
      <c r="D333" s="769"/>
      <c r="E333" s="770"/>
      <c r="F333" s="523"/>
    </row>
    <row r="334" spans="1:6" hidden="1" x14ac:dyDescent="0.25">
      <c r="A334" s="676" t="s">
        <v>645</v>
      </c>
      <c r="B334" s="677" t="s">
        <v>646</v>
      </c>
      <c r="C334" s="677">
        <v>8</v>
      </c>
      <c r="D334" s="678"/>
      <c r="E334" s="519">
        <f t="shared" si="22"/>
        <v>0</v>
      </c>
      <c r="F334" s="523"/>
    </row>
    <row r="335" spans="1:6" ht="31.5" hidden="1" x14ac:dyDescent="0.25">
      <c r="A335" s="676" t="s">
        <v>647</v>
      </c>
      <c r="B335" s="677" t="s">
        <v>386</v>
      </c>
      <c r="C335" s="677">
        <v>20</v>
      </c>
      <c r="D335" s="678"/>
      <c r="E335" s="519">
        <f t="shared" si="22"/>
        <v>0</v>
      </c>
      <c r="F335" s="523"/>
    </row>
    <row r="336" spans="1:6" hidden="1" x14ac:dyDescent="0.25">
      <c r="A336" s="676" t="s">
        <v>648</v>
      </c>
      <c r="B336" s="677" t="s">
        <v>386</v>
      </c>
      <c r="C336" s="677">
        <v>90</v>
      </c>
      <c r="D336" s="678"/>
      <c r="E336" s="519">
        <f t="shared" si="22"/>
        <v>0</v>
      </c>
      <c r="F336" s="523"/>
    </row>
    <row r="337" spans="1:6" hidden="1" x14ac:dyDescent="0.25">
      <c r="A337" s="676" t="s">
        <v>649</v>
      </c>
      <c r="B337" s="677" t="s">
        <v>386</v>
      </c>
      <c r="C337" s="677">
        <v>10</v>
      </c>
      <c r="D337" s="678"/>
      <c r="E337" s="519">
        <f t="shared" si="22"/>
        <v>0</v>
      </c>
      <c r="F337" s="523"/>
    </row>
    <row r="338" spans="1:6" ht="18.75" hidden="1" x14ac:dyDescent="0.25">
      <c r="A338" s="676" t="s">
        <v>650</v>
      </c>
      <c r="B338" s="677" t="s">
        <v>1133</v>
      </c>
      <c r="C338" s="677">
        <v>24518</v>
      </c>
      <c r="D338" s="678"/>
      <c r="E338" s="519">
        <f t="shared" si="22"/>
        <v>0</v>
      </c>
      <c r="F338" s="523"/>
    </row>
    <row r="339" spans="1:6" hidden="1" x14ac:dyDescent="0.25">
      <c r="A339" s="768" t="s">
        <v>651</v>
      </c>
      <c r="B339" s="769"/>
      <c r="C339" s="769"/>
      <c r="D339" s="769"/>
      <c r="E339" s="770"/>
      <c r="F339" s="523"/>
    </row>
    <row r="340" spans="1:6" hidden="1" x14ac:dyDescent="0.25">
      <c r="A340" s="676" t="s">
        <v>652</v>
      </c>
      <c r="B340" s="677" t="s">
        <v>653</v>
      </c>
      <c r="C340" s="680">
        <v>1</v>
      </c>
      <c r="D340" s="678"/>
      <c r="E340" s="519">
        <f t="shared" si="22"/>
        <v>0</v>
      </c>
      <c r="F340" s="523"/>
    </row>
    <row r="341" spans="1:6" hidden="1" x14ac:dyDescent="0.25">
      <c r="A341" s="676" t="s">
        <v>645</v>
      </c>
      <c r="B341" s="677" t="s">
        <v>634</v>
      </c>
      <c r="C341" s="677">
        <v>24</v>
      </c>
      <c r="D341" s="678"/>
      <c r="E341" s="519">
        <f t="shared" si="22"/>
        <v>0</v>
      </c>
      <c r="F341" s="523"/>
    </row>
    <row r="342" spans="1:6" hidden="1" x14ac:dyDescent="0.25">
      <c r="A342" s="676" t="s">
        <v>632</v>
      </c>
      <c r="B342" s="677" t="s">
        <v>386</v>
      </c>
      <c r="C342" s="681">
        <v>23</v>
      </c>
      <c r="D342" s="678"/>
      <c r="E342" s="519">
        <f t="shared" si="22"/>
        <v>0</v>
      </c>
      <c r="F342" s="523"/>
    </row>
    <row r="343" spans="1:6" hidden="1" x14ac:dyDescent="0.25">
      <c r="A343" s="676" t="s">
        <v>635</v>
      </c>
      <c r="B343" s="677" t="s">
        <v>654</v>
      </c>
      <c r="C343" s="681">
        <v>398</v>
      </c>
      <c r="D343" s="678"/>
      <c r="E343" s="519">
        <f t="shared" si="22"/>
        <v>0</v>
      </c>
      <c r="F343" s="523"/>
    </row>
    <row r="344" spans="1:6" hidden="1" x14ac:dyDescent="0.25">
      <c r="A344" s="676" t="s">
        <v>655</v>
      </c>
      <c r="B344" s="677" t="s">
        <v>386</v>
      </c>
      <c r="C344" s="677">
        <v>78</v>
      </c>
      <c r="D344" s="678"/>
      <c r="E344" s="519">
        <f t="shared" si="22"/>
        <v>0</v>
      </c>
      <c r="F344" s="523"/>
    </row>
    <row r="345" spans="1:6" hidden="1" x14ac:dyDescent="0.25">
      <c r="A345" s="676" t="s">
        <v>656</v>
      </c>
      <c r="B345" s="677" t="s">
        <v>463</v>
      </c>
      <c r="C345" s="677">
        <v>0</v>
      </c>
      <c r="D345" s="678"/>
      <c r="E345" s="519">
        <v>0</v>
      </c>
      <c r="F345" s="523"/>
    </row>
    <row r="346" spans="1:6" hidden="1" x14ac:dyDescent="0.25">
      <c r="A346" s="676" t="s">
        <v>657</v>
      </c>
      <c r="B346" s="677" t="s">
        <v>463</v>
      </c>
      <c r="C346" s="677">
        <v>54.1</v>
      </c>
      <c r="D346" s="678"/>
      <c r="E346" s="519">
        <f t="shared" si="22"/>
        <v>0</v>
      </c>
      <c r="F346" s="523"/>
    </row>
    <row r="347" spans="1:6" hidden="1" x14ac:dyDescent="0.25">
      <c r="A347" s="676" t="s">
        <v>658</v>
      </c>
      <c r="B347" s="677" t="s">
        <v>386</v>
      </c>
      <c r="C347" s="677">
        <v>25.4</v>
      </c>
      <c r="D347" s="678"/>
      <c r="E347" s="519">
        <f t="shared" si="22"/>
        <v>0</v>
      </c>
      <c r="F347" s="523"/>
    </row>
    <row r="348" spans="1:6" hidden="1" x14ac:dyDescent="0.25">
      <c r="A348" s="676" t="s">
        <v>659</v>
      </c>
      <c r="B348" s="677" t="s">
        <v>386</v>
      </c>
      <c r="C348" s="677">
        <v>42.72</v>
      </c>
      <c r="D348" s="678"/>
      <c r="E348" s="519">
        <f t="shared" si="22"/>
        <v>0</v>
      </c>
      <c r="F348" s="523"/>
    </row>
    <row r="349" spans="1:6" hidden="1" x14ac:dyDescent="0.25">
      <c r="A349" s="676" t="s">
        <v>660</v>
      </c>
      <c r="B349" s="677" t="s">
        <v>386</v>
      </c>
      <c r="C349" s="677">
        <v>100</v>
      </c>
      <c r="D349" s="678"/>
      <c r="E349" s="519">
        <f t="shared" si="22"/>
        <v>0</v>
      </c>
      <c r="F349" s="523"/>
    </row>
    <row r="350" spans="1:6" ht="31.5" hidden="1" x14ac:dyDescent="0.25">
      <c r="A350" s="676" t="s">
        <v>661</v>
      </c>
      <c r="B350" s="677" t="s">
        <v>386</v>
      </c>
      <c r="C350" s="677">
        <v>53</v>
      </c>
      <c r="D350" s="678"/>
      <c r="E350" s="519">
        <f t="shared" si="22"/>
        <v>0</v>
      </c>
      <c r="F350" s="523"/>
    </row>
    <row r="351" spans="1:6" hidden="1" x14ac:dyDescent="0.25">
      <c r="A351" s="676" t="s">
        <v>662</v>
      </c>
      <c r="B351" s="677" t="s">
        <v>386</v>
      </c>
      <c r="C351" s="682">
        <v>0.26300000000000001</v>
      </c>
      <c r="D351" s="678"/>
      <c r="E351" s="519">
        <f t="shared" si="22"/>
        <v>0</v>
      </c>
      <c r="F351" s="523"/>
    </row>
    <row r="352" spans="1:6" hidden="1" x14ac:dyDescent="0.25">
      <c r="A352" s="676" t="s">
        <v>629</v>
      </c>
      <c r="B352" s="677" t="s">
        <v>395</v>
      </c>
      <c r="C352" s="683">
        <v>0.14799999999999999</v>
      </c>
      <c r="D352" s="678"/>
      <c r="E352" s="519">
        <f t="shared" si="22"/>
        <v>0</v>
      </c>
      <c r="F352" s="523"/>
    </row>
    <row r="353" spans="1:6" hidden="1" x14ac:dyDescent="0.25">
      <c r="A353" s="676" t="s">
        <v>663</v>
      </c>
      <c r="B353" s="677" t="s">
        <v>386</v>
      </c>
      <c r="C353" s="684">
        <v>0.85</v>
      </c>
      <c r="D353" s="678"/>
      <c r="E353" s="519">
        <f t="shared" si="22"/>
        <v>0</v>
      </c>
      <c r="F353" s="523"/>
    </row>
    <row r="354" spans="1:6" hidden="1" x14ac:dyDescent="0.25">
      <c r="A354" s="676" t="s">
        <v>664</v>
      </c>
      <c r="B354" s="677" t="s">
        <v>665</v>
      </c>
      <c r="C354" s="677">
        <v>238.1</v>
      </c>
      <c r="D354" s="678"/>
      <c r="E354" s="519">
        <f t="shared" si="22"/>
        <v>0</v>
      </c>
      <c r="F354" s="523"/>
    </row>
    <row r="355" spans="1:6" hidden="1" x14ac:dyDescent="0.25">
      <c r="A355" s="676" t="s">
        <v>666</v>
      </c>
      <c r="B355" s="677" t="s">
        <v>665</v>
      </c>
      <c r="C355" s="677">
        <v>164.1</v>
      </c>
      <c r="D355" s="678"/>
      <c r="E355" s="519">
        <f t="shared" si="22"/>
        <v>0</v>
      </c>
      <c r="F355" s="523"/>
    </row>
    <row r="356" spans="1:6" hidden="1" x14ac:dyDescent="0.25">
      <c r="A356" s="676" t="s">
        <v>667</v>
      </c>
      <c r="B356" s="677" t="s">
        <v>665</v>
      </c>
      <c r="C356" s="677">
        <v>176.1</v>
      </c>
      <c r="D356" s="678"/>
      <c r="E356" s="519">
        <f t="shared" si="22"/>
        <v>0</v>
      </c>
      <c r="F356" s="523"/>
    </row>
    <row r="357" spans="1:6" ht="18.75" hidden="1" x14ac:dyDescent="0.25">
      <c r="A357" s="676" t="s">
        <v>668</v>
      </c>
      <c r="B357" s="677" t="s">
        <v>1134</v>
      </c>
      <c r="C357" s="677">
        <v>0.4</v>
      </c>
      <c r="D357" s="678"/>
      <c r="E357" s="519">
        <f t="shared" si="22"/>
        <v>0</v>
      </c>
      <c r="F357" s="523"/>
    </row>
    <row r="358" spans="1:6" hidden="1" x14ac:dyDescent="0.25">
      <c r="A358" s="676" t="s">
        <v>669</v>
      </c>
      <c r="B358" s="677" t="s">
        <v>670</v>
      </c>
      <c r="C358" s="677">
        <v>3.2000000000000001E-2</v>
      </c>
      <c r="D358" s="678"/>
      <c r="E358" s="519">
        <f t="shared" si="22"/>
        <v>0</v>
      </c>
      <c r="F358" s="523"/>
    </row>
    <row r="359" spans="1:6" hidden="1" x14ac:dyDescent="0.25">
      <c r="A359" s="676" t="s">
        <v>671</v>
      </c>
      <c r="B359" s="677" t="s">
        <v>672</v>
      </c>
      <c r="C359" s="677">
        <v>3128.5</v>
      </c>
      <c r="D359" s="678"/>
      <c r="E359" s="519">
        <f t="shared" si="22"/>
        <v>0</v>
      </c>
      <c r="F359" s="523"/>
    </row>
    <row r="360" spans="1:6" hidden="1" x14ac:dyDescent="0.25">
      <c r="A360" s="676" t="s">
        <v>673</v>
      </c>
      <c r="B360" s="677" t="s">
        <v>674</v>
      </c>
      <c r="C360" s="677">
        <v>99237.8</v>
      </c>
      <c r="D360" s="678"/>
      <c r="E360" s="519">
        <f t="shared" si="22"/>
        <v>0</v>
      </c>
      <c r="F360" s="523"/>
    </row>
    <row r="361" spans="1:6" hidden="1" x14ac:dyDescent="0.25">
      <c r="A361" s="768" t="s">
        <v>675</v>
      </c>
      <c r="B361" s="769"/>
      <c r="C361" s="769"/>
      <c r="D361" s="769"/>
      <c r="E361" s="770"/>
      <c r="F361" s="523"/>
    </row>
    <row r="362" spans="1:6" hidden="1" x14ac:dyDescent="0.25">
      <c r="A362" s="676" t="s">
        <v>652</v>
      </c>
      <c r="B362" s="677" t="s">
        <v>653</v>
      </c>
      <c r="C362" s="680">
        <v>1</v>
      </c>
      <c r="D362" s="678"/>
      <c r="E362" s="519">
        <f t="shared" si="22"/>
        <v>0</v>
      </c>
      <c r="F362" s="523"/>
    </row>
    <row r="363" spans="1:6" hidden="1" x14ac:dyDescent="0.25">
      <c r="A363" s="676" t="s">
        <v>645</v>
      </c>
      <c r="B363" s="677" t="s">
        <v>634</v>
      </c>
      <c r="C363" s="677">
        <v>24</v>
      </c>
      <c r="D363" s="678"/>
      <c r="E363" s="519">
        <f t="shared" si="22"/>
        <v>0</v>
      </c>
      <c r="F363" s="523"/>
    </row>
    <row r="364" spans="1:6" hidden="1" x14ac:dyDescent="0.25">
      <c r="A364" s="676" t="s">
        <v>676</v>
      </c>
      <c r="B364" s="677" t="s">
        <v>386</v>
      </c>
      <c r="C364" s="685">
        <v>18</v>
      </c>
      <c r="D364" s="678"/>
      <c r="E364" s="519">
        <f t="shared" si="22"/>
        <v>0</v>
      </c>
      <c r="F364" s="523"/>
    </row>
    <row r="365" spans="1:6" hidden="1" x14ac:dyDescent="0.25">
      <c r="A365" s="676" t="s">
        <v>677</v>
      </c>
      <c r="B365" s="677" t="s">
        <v>678</v>
      </c>
      <c r="C365" s="685">
        <v>6958.5</v>
      </c>
      <c r="D365" s="678"/>
      <c r="E365" s="519">
        <f t="shared" si="22"/>
        <v>0</v>
      </c>
      <c r="F365" s="523"/>
    </row>
    <row r="366" spans="1:6" ht="31.5" hidden="1" x14ac:dyDescent="0.25">
      <c r="A366" s="676" t="s">
        <v>635</v>
      </c>
      <c r="B366" s="677" t="s">
        <v>679</v>
      </c>
      <c r="C366" s="685">
        <v>7.76</v>
      </c>
      <c r="D366" s="678"/>
      <c r="E366" s="519">
        <f t="shared" si="22"/>
        <v>0</v>
      </c>
      <c r="F366" s="523"/>
    </row>
    <row r="367" spans="1:6" hidden="1" x14ac:dyDescent="0.25">
      <c r="A367" s="676" t="s">
        <v>680</v>
      </c>
      <c r="B367" s="677" t="s">
        <v>386</v>
      </c>
      <c r="C367" s="686">
        <v>60</v>
      </c>
      <c r="D367" s="678"/>
      <c r="E367" s="519">
        <f t="shared" si="22"/>
        <v>0</v>
      </c>
      <c r="F367" s="523"/>
    </row>
    <row r="368" spans="1:6" hidden="1" x14ac:dyDescent="0.25">
      <c r="A368" s="676" t="s">
        <v>638</v>
      </c>
      <c r="B368" s="677" t="s">
        <v>386</v>
      </c>
      <c r="C368" s="687">
        <v>35.4</v>
      </c>
      <c r="D368" s="678"/>
      <c r="E368" s="519">
        <f t="shared" si="22"/>
        <v>0</v>
      </c>
      <c r="F368" s="523"/>
    </row>
    <row r="369" spans="1:6" hidden="1" x14ac:dyDescent="0.25">
      <c r="A369" s="676" t="s">
        <v>681</v>
      </c>
      <c r="B369" s="677" t="s">
        <v>386</v>
      </c>
      <c r="C369" s="677">
        <v>100</v>
      </c>
      <c r="D369" s="678"/>
      <c r="E369" s="519">
        <f t="shared" si="22"/>
        <v>0</v>
      </c>
      <c r="F369" s="523"/>
    </row>
    <row r="370" spans="1:6" ht="31.5" hidden="1" x14ac:dyDescent="0.25">
      <c r="A370" s="676" t="s">
        <v>661</v>
      </c>
      <c r="B370" s="677" t="s">
        <v>386</v>
      </c>
      <c r="C370" s="677">
        <v>100</v>
      </c>
      <c r="D370" s="678"/>
      <c r="E370" s="519">
        <f t="shared" si="22"/>
        <v>0</v>
      </c>
      <c r="F370" s="523"/>
    </row>
    <row r="371" spans="1:6" hidden="1" x14ac:dyDescent="0.25">
      <c r="A371" s="676" t="s">
        <v>662</v>
      </c>
      <c r="B371" s="677" t="s">
        <v>386</v>
      </c>
      <c r="C371" s="682">
        <v>2.9000000000000001E-2</v>
      </c>
      <c r="D371" s="678"/>
      <c r="E371" s="519">
        <f t="shared" si="22"/>
        <v>0</v>
      </c>
      <c r="F371" s="523"/>
    </row>
    <row r="372" spans="1:6" hidden="1" x14ac:dyDescent="0.25">
      <c r="A372" s="676" t="s">
        <v>682</v>
      </c>
      <c r="B372" s="677" t="s">
        <v>395</v>
      </c>
      <c r="C372" s="677">
        <v>0.23</v>
      </c>
      <c r="D372" s="678"/>
      <c r="E372" s="519">
        <f t="shared" si="22"/>
        <v>0</v>
      </c>
      <c r="F372" s="523"/>
    </row>
    <row r="373" spans="1:6" hidden="1" x14ac:dyDescent="0.25">
      <c r="A373" s="676" t="s">
        <v>683</v>
      </c>
      <c r="B373" s="677" t="s">
        <v>395</v>
      </c>
      <c r="C373" s="677">
        <v>0</v>
      </c>
      <c r="D373" s="678"/>
      <c r="E373" s="519">
        <v>0</v>
      </c>
      <c r="F373" s="523"/>
    </row>
    <row r="374" spans="1:6" ht="32.25" customHeight="1" x14ac:dyDescent="0.25">
      <c r="A374" s="759" t="s">
        <v>1161</v>
      </c>
      <c r="B374" s="760"/>
      <c r="C374" s="760"/>
      <c r="D374" s="760"/>
      <c r="E374" s="771"/>
      <c r="F374" s="688">
        <f>SUM(E376:E382)/7</f>
        <v>84.965541125541137</v>
      </c>
    </row>
    <row r="375" spans="1:6" ht="21" customHeight="1" x14ac:dyDescent="0.25">
      <c r="A375" s="895" t="s">
        <v>780</v>
      </c>
      <c r="B375" s="896"/>
      <c r="C375" s="896"/>
      <c r="D375" s="896"/>
      <c r="E375" s="896"/>
      <c r="F375" s="689"/>
    </row>
    <row r="376" spans="1:6" ht="31.5" x14ac:dyDescent="0.25">
      <c r="A376" s="34" t="s">
        <v>684</v>
      </c>
      <c r="B376" s="546" t="s">
        <v>417</v>
      </c>
      <c r="C376" s="35">
        <v>6</v>
      </c>
      <c r="D376" s="546">
        <v>8</v>
      </c>
      <c r="E376" s="557">
        <v>100</v>
      </c>
      <c r="F376" s="523"/>
    </row>
    <row r="377" spans="1:6" x14ac:dyDescent="0.25">
      <c r="A377" s="545" t="s">
        <v>685</v>
      </c>
      <c r="B377" s="546" t="s">
        <v>417</v>
      </c>
      <c r="C377" s="35">
        <v>4</v>
      </c>
      <c r="D377" s="546">
        <v>4</v>
      </c>
      <c r="E377" s="519">
        <f t="shared" ref="E377:E381" si="23">SUM(D377/C377*100)</f>
        <v>100</v>
      </c>
      <c r="F377" s="523"/>
    </row>
    <row r="378" spans="1:6" x14ac:dyDescent="0.25">
      <c r="A378" s="545" t="s">
        <v>746</v>
      </c>
      <c r="B378" s="546" t="s">
        <v>417</v>
      </c>
      <c r="C378" s="35">
        <v>360</v>
      </c>
      <c r="D378" s="546">
        <v>389</v>
      </c>
      <c r="E378" s="519">
        <v>100</v>
      </c>
      <c r="F378" s="523"/>
    </row>
    <row r="379" spans="1:6" x14ac:dyDescent="0.25">
      <c r="A379" s="3" t="s">
        <v>686</v>
      </c>
      <c r="B379" s="546" t="s">
        <v>417</v>
      </c>
      <c r="C379" s="35">
        <v>20</v>
      </c>
      <c r="D379" s="546">
        <v>36</v>
      </c>
      <c r="E379" s="519">
        <v>100</v>
      </c>
      <c r="F379" s="523"/>
    </row>
    <row r="380" spans="1:6" x14ac:dyDescent="0.25">
      <c r="A380" s="3" t="s">
        <v>687</v>
      </c>
      <c r="B380" s="144" t="s">
        <v>411</v>
      </c>
      <c r="C380" s="35">
        <v>900</v>
      </c>
      <c r="D380" s="144">
        <v>2300</v>
      </c>
      <c r="E380" s="519">
        <v>100</v>
      </c>
      <c r="F380" s="523"/>
    </row>
    <row r="381" spans="1:6" x14ac:dyDescent="0.25">
      <c r="A381" s="3" t="s">
        <v>688</v>
      </c>
      <c r="B381" s="144" t="s">
        <v>478</v>
      </c>
      <c r="C381" s="35">
        <v>550</v>
      </c>
      <c r="D381" s="690">
        <v>168.09</v>
      </c>
      <c r="E381" s="519">
        <f t="shared" si="23"/>
        <v>30.561818181818186</v>
      </c>
      <c r="F381" s="523"/>
    </row>
    <row r="382" spans="1:6" x14ac:dyDescent="0.25">
      <c r="A382" s="3" t="s">
        <v>689</v>
      </c>
      <c r="B382" s="144" t="s">
        <v>478</v>
      </c>
      <c r="C382" s="35">
        <v>330</v>
      </c>
      <c r="D382" s="691">
        <v>211.85</v>
      </c>
      <c r="E382" s="519">
        <f>SUM(D382/C382*100)</f>
        <v>64.196969696969703</v>
      </c>
      <c r="F382" s="523"/>
    </row>
    <row r="383" spans="1:6" ht="29.25" customHeight="1" x14ac:dyDescent="0.25">
      <c r="A383" s="759" t="s">
        <v>690</v>
      </c>
      <c r="B383" s="760"/>
      <c r="C383" s="760"/>
      <c r="D383" s="760"/>
      <c r="E383" s="760"/>
      <c r="F383" s="692">
        <f>SUM(E385+E386+E387+E388+E389)/5</f>
        <v>100</v>
      </c>
    </row>
    <row r="384" spans="1:6" ht="49.5" customHeight="1" x14ac:dyDescent="0.25">
      <c r="A384" s="835" t="s">
        <v>1163</v>
      </c>
      <c r="B384" s="891"/>
      <c r="C384" s="891"/>
      <c r="D384" s="891"/>
      <c r="E384" s="892"/>
      <c r="F384" s="693"/>
    </row>
    <row r="385" spans="1:6" ht="25.5" customHeight="1" x14ac:dyDescent="0.25">
      <c r="A385" s="708" t="s">
        <v>855</v>
      </c>
      <c r="B385" s="267" t="s">
        <v>395</v>
      </c>
      <c r="C385" s="634">
        <v>117</v>
      </c>
      <c r="D385" s="634">
        <v>117</v>
      </c>
      <c r="E385" s="557">
        <f>SUM(D385/C385*100)</f>
        <v>100</v>
      </c>
      <c r="F385" s="556"/>
    </row>
    <row r="386" spans="1:6" ht="27.75" customHeight="1" x14ac:dyDescent="0.25">
      <c r="A386" s="694" t="s">
        <v>856</v>
      </c>
      <c r="B386" s="267" t="s">
        <v>395</v>
      </c>
      <c r="C386" s="634">
        <v>1.77</v>
      </c>
      <c r="D386" s="634">
        <v>1.77</v>
      </c>
      <c r="E386" s="557">
        <f t="shared" ref="E386:E389" si="24">SUM(D386/C386*100)</f>
        <v>100</v>
      </c>
      <c r="F386" s="556"/>
    </row>
    <row r="387" spans="1:6" ht="34.5" customHeight="1" x14ac:dyDescent="0.25">
      <c r="A387" s="31" t="s">
        <v>691</v>
      </c>
      <c r="B387" s="413" t="s">
        <v>386</v>
      </c>
      <c r="C387" s="462">
        <v>12.8</v>
      </c>
      <c r="D387" s="462">
        <v>12.8</v>
      </c>
      <c r="E387" s="557">
        <f t="shared" si="24"/>
        <v>100</v>
      </c>
      <c r="F387" s="556"/>
    </row>
    <row r="388" spans="1:6" ht="22.5" customHeight="1" x14ac:dyDescent="0.25">
      <c r="A388" s="31" t="s">
        <v>692</v>
      </c>
      <c r="B388" s="267" t="s">
        <v>395</v>
      </c>
      <c r="C388" s="695">
        <v>46</v>
      </c>
      <c r="D388" s="695">
        <v>46</v>
      </c>
      <c r="E388" s="557">
        <f t="shared" si="24"/>
        <v>100</v>
      </c>
      <c r="F388" s="556"/>
    </row>
    <row r="389" spans="1:6" ht="30" customHeight="1" x14ac:dyDescent="0.25">
      <c r="A389" s="31" t="s">
        <v>693</v>
      </c>
      <c r="B389" s="696" t="s">
        <v>411</v>
      </c>
      <c r="C389" s="695">
        <v>27</v>
      </c>
      <c r="D389" s="695">
        <v>27</v>
      </c>
      <c r="E389" s="557">
        <f t="shared" si="24"/>
        <v>100</v>
      </c>
      <c r="F389" s="697"/>
    </row>
    <row r="390" spans="1:6" ht="32.25" customHeight="1" x14ac:dyDescent="0.25">
      <c r="A390" s="761" t="s">
        <v>694</v>
      </c>
      <c r="B390" s="762"/>
      <c r="C390" s="762"/>
      <c r="D390" s="762"/>
      <c r="E390" s="763"/>
      <c r="F390" s="698">
        <f>SUM(E392+E393+E394+E395+E396+E397+E398+E399+E400+E401+E402+E403+E404+E406+E407+E408+E409+E410+E411+E412+E413+E414+E415+E416+E417+E418+E419)/27</f>
        <v>62.962962962962962</v>
      </c>
    </row>
    <row r="391" spans="1:6" ht="55.5" customHeight="1" x14ac:dyDescent="0.25">
      <c r="A391" s="836" t="s">
        <v>779</v>
      </c>
      <c r="B391" s="893"/>
      <c r="C391" s="893"/>
      <c r="D391" s="893"/>
      <c r="E391" s="894"/>
      <c r="F391" s="699"/>
    </row>
    <row r="392" spans="1:6" ht="47.25" x14ac:dyDescent="0.25">
      <c r="A392" s="4" t="s">
        <v>696</v>
      </c>
      <c r="B392" s="144" t="s">
        <v>747</v>
      </c>
      <c r="C392" s="144" t="s">
        <v>695</v>
      </c>
      <c r="D392" s="144" t="s">
        <v>748</v>
      </c>
      <c r="E392" s="512">
        <v>100</v>
      </c>
      <c r="F392" s="523"/>
    </row>
    <row r="393" spans="1:6" ht="31.5" x14ac:dyDescent="0.25">
      <c r="A393" s="4" t="s">
        <v>697</v>
      </c>
      <c r="B393" s="144" t="s">
        <v>747</v>
      </c>
      <c r="C393" s="144" t="s">
        <v>748</v>
      </c>
      <c r="D393" s="144" t="s">
        <v>748</v>
      </c>
      <c r="E393" s="512">
        <v>100</v>
      </c>
      <c r="F393" s="523"/>
    </row>
    <row r="394" spans="1:6" ht="31.5" x14ac:dyDescent="0.25">
      <c r="A394" s="4" t="s">
        <v>774</v>
      </c>
      <c r="B394" s="144" t="s">
        <v>747</v>
      </c>
      <c r="C394" s="144" t="s">
        <v>695</v>
      </c>
      <c r="D394" s="144" t="s">
        <v>698</v>
      </c>
      <c r="E394" s="512">
        <v>0</v>
      </c>
      <c r="F394" s="523"/>
    </row>
    <row r="395" spans="1:6" ht="31.5" x14ac:dyDescent="0.25">
      <c r="A395" s="4" t="s">
        <v>1174</v>
      </c>
      <c r="B395" s="144" t="s">
        <v>386</v>
      </c>
      <c r="C395" s="144" t="s">
        <v>699</v>
      </c>
      <c r="D395" s="144" t="s">
        <v>699</v>
      </c>
      <c r="E395" s="512">
        <v>100</v>
      </c>
      <c r="F395" s="523"/>
    </row>
    <row r="396" spans="1:6" ht="31.5" x14ac:dyDescent="0.25">
      <c r="A396" s="4" t="s">
        <v>700</v>
      </c>
      <c r="B396" s="144" t="s">
        <v>386</v>
      </c>
      <c r="C396" s="144" t="s">
        <v>749</v>
      </c>
      <c r="D396" s="144" t="s">
        <v>749</v>
      </c>
      <c r="E396" s="512">
        <v>100</v>
      </c>
      <c r="F396" s="523"/>
    </row>
    <row r="397" spans="1:6" ht="18" customHeight="1" x14ac:dyDescent="0.25">
      <c r="A397" s="4" t="s">
        <v>701</v>
      </c>
      <c r="B397" s="144" t="s">
        <v>386</v>
      </c>
      <c r="C397" s="144" t="s">
        <v>750</v>
      </c>
      <c r="D397" s="144" t="s">
        <v>750</v>
      </c>
      <c r="E397" s="512">
        <v>100</v>
      </c>
      <c r="F397" s="523"/>
    </row>
    <row r="398" spans="1:6" ht="78.75" x14ac:dyDescent="0.25">
      <c r="A398" s="4" t="s">
        <v>702</v>
      </c>
      <c r="B398" s="144" t="s">
        <v>386</v>
      </c>
      <c r="C398" s="144" t="s">
        <v>703</v>
      </c>
      <c r="D398" s="144" t="s">
        <v>703</v>
      </c>
      <c r="E398" s="512">
        <v>100</v>
      </c>
      <c r="F398" s="523"/>
    </row>
    <row r="399" spans="1:6" ht="47.25" x14ac:dyDescent="0.25">
      <c r="A399" s="4" t="s">
        <v>704</v>
      </c>
      <c r="B399" s="144" t="s">
        <v>386</v>
      </c>
      <c r="C399" s="144" t="s">
        <v>705</v>
      </c>
      <c r="D399" s="144" t="s">
        <v>705</v>
      </c>
      <c r="E399" s="512">
        <v>100</v>
      </c>
      <c r="F399" s="523"/>
    </row>
    <row r="400" spans="1:6" ht="47.25" x14ac:dyDescent="0.25">
      <c r="A400" s="4" t="s">
        <v>706</v>
      </c>
      <c r="B400" s="144" t="s">
        <v>751</v>
      </c>
      <c r="C400" s="144" t="s">
        <v>695</v>
      </c>
      <c r="D400" s="144" t="s">
        <v>695</v>
      </c>
      <c r="E400" s="512">
        <v>100</v>
      </c>
      <c r="F400" s="523"/>
    </row>
    <row r="401" spans="1:6" ht="47.25" x14ac:dyDescent="0.25">
      <c r="A401" s="4" t="s">
        <v>707</v>
      </c>
      <c r="B401" s="144" t="s">
        <v>386</v>
      </c>
      <c r="C401" s="700">
        <v>2E-3</v>
      </c>
      <c r="D401" s="144">
        <v>0</v>
      </c>
      <c r="E401" s="512">
        <v>0</v>
      </c>
      <c r="F401" s="523"/>
    </row>
    <row r="402" spans="1:6" ht="63" x14ac:dyDescent="0.25">
      <c r="A402" s="4" t="s">
        <v>708</v>
      </c>
      <c r="B402" s="144" t="s">
        <v>386</v>
      </c>
      <c r="C402" s="144" t="s">
        <v>709</v>
      </c>
      <c r="D402" s="144">
        <v>0</v>
      </c>
      <c r="E402" s="512">
        <v>0</v>
      </c>
      <c r="F402" s="523"/>
    </row>
    <row r="403" spans="1:6" ht="47.25" x14ac:dyDescent="0.25">
      <c r="A403" s="4" t="s">
        <v>710</v>
      </c>
      <c r="B403" s="144" t="s">
        <v>747</v>
      </c>
      <c r="C403" s="144" t="s">
        <v>748</v>
      </c>
      <c r="D403" s="144" t="s">
        <v>698</v>
      </c>
      <c r="E403" s="512">
        <v>0</v>
      </c>
      <c r="F403" s="523"/>
    </row>
    <row r="404" spans="1:6" ht="47.25" x14ac:dyDescent="0.25">
      <c r="A404" s="4" t="s">
        <v>711</v>
      </c>
      <c r="B404" s="144" t="s">
        <v>751</v>
      </c>
      <c r="C404" s="144" t="s">
        <v>695</v>
      </c>
      <c r="D404" s="144" t="s">
        <v>695</v>
      </c>
      <c r="E404" s="512">
        <v>0</v>
      </c>
      <c r="F404" s="523"/>
    </row>
    <row r="405" spans="1:6" ht="47.25" x14ac:dyDescent="0.25">
      <c r="A405" s="4" t="s">
        <v>857</v>
      </c>
      <c r="B405" s="144" t="s">
        <v>386</v>
      </c>
      <c r="C405" s="701"/>
      <c r="D405" s="701"/>
      <c r="E405" s="512"/>
      <c r="F405" s="523"/>
    </row>
    <row r="406" spans="1:6" ht="31.5" x14ac:dyDescent="0.25">
      <c r="A406" s="4" t="s">
        <v>712</v>
      </c>
      <c r="B406" s="144" t="s">
        <v>386</v>
      </c>
      <c r="C406" s="144">
        <v>100</v>
      </c>
      <c r="D406" s="144">
        <v>100</v>
      </c>
      <c r="E406" s="512">
        <v>100</v>
      </c>
      <c r="F406" s="523"/>
    </row>
    <row r="407" spans="1:6" ht="47.25" x14ac:dyDescent="0.25">
      <c r="A407" s="4" t="s">
        <v>713</v>
      </c>
      <c r="B407" s="144" t="s">
        <v>386</v>
      </c>
      <c r="C407" s="144" t="s">
        <v>714</v>
      </c>
      <c r="D407" s="144" t="s">
        <v>714</v>
      </c>
      <c r="E407" s="512">
        <v>100</v>
      </c>
      <c r="F407" s="523"/>
    </row>
    <row r="408" spans="1:6" ht="31.5" x14ac:dyDescent="0.25">
      <c r="A408" s="4" t="s">
        <v>715</v>
      </c>
      <c r="B408" s="144" t="s">
        <v>751</v>
      </c>
      <c r="C408" s="144" t="s">
        <v>748</v>
      </c>
      <c r="D408" s="144" t="s">
        <v>695</v>
      </c>
      <c r="E408" s="512">
        <v>100</v>
      </c>
      <c r="F408" s="523"/>
    </row>
    <row r="409" spans="1:6" ht="110.25" x14ac:dyDescent="0.25">
      <c r="A409" s="4" t="s">
        <v>716</v>
      </c>
      <c r="B409" s="144" t="s">
        <v>747</v>
      </c>
      <c r="C409" s="144" t="s">
        <v>695</v>
      </c>
      <c r="D409" s="144" t="s">
        <v>695</v>
      </c>
      <c r="E409" s="512">
        <v>100</v>
      </c>
      <c r="F409" s="523"/>
    </row>
    <row r="410" spans="1:6" ht="31.5" x14ac:dyDescent="0.25">
      <c r="A410" s="4" t="s">
        <v>717</v>
      </c>
      <c r="B410" s="144" t="s">
        <v>747</v>
      </c>
      <c r="C410" s="144" t="s">
        <v>748</v>
      </c>
      <c r="D410" s="144" t="s">
        <v>695</v>
      </c>
      <c r="E410" s="512">
        <v>100</v>
      </c>
      <c r="F410" s="523"/>
    </row>
    <row r="411" spans="1:6" ht="31.5" x14ac:dyDescent="0.25">
      <c r="A411" s="4" t="s">
        <v>718</v>
      </c>
      <c r="B411" s="144" t="s">
        <v>747</v>
      </c>
      <c r="C411" s="144" t="s">
        <v>748</v>
      </c>
      <c r="D411" s="144" t="s">
        <v>695</v>
      </c>
      <c r="E411" s="512">
        <v>100</v>
      </c>
      <c r="F411" s="523"/>
    </row>
    <row r="412" spans="1:6" ht="31.5" x14ac:dyDescent="0.25">
      <c r="A412" s="4" t="s">
        <v>719</v>
      </c>
      <c r="B412" s="144" t="s">
        <v>395</v>
      </c>
      <c r="C412" s="144">
        <v>1</v>
      </c>
      <c r="D412" s="144">
        <v>1</v>
      </c>
      <c r="E412" s="512">
        <v>100</v>
      </c>
      <c r="F412" s="523"/>
    </row>
    <row r="413" spans="1:6" ht="51" customHeight="1" x14ac:dyDescent="0.25">
      <c r="A413" s="4" t="s">
        <v>720</v>
      </c>
      <c r="B413" s="144" t="s">
        <v>386</v>
      </c>
      <c r="C413" s="144">
        <v>81</v>
      </c>
      <c r="D413" s="144" t="s">
        <v>752</v>
      </c>
      <c r="E413" s="512">
        <v>0</v>
      </c>
      <c r="F413" s="523"/>
    </row>
    <row r="414" spans="1:6" ht="78.75" x14ac:dyDescent="0.25">
      <c r="A414" s="4" t="s">
        <v>721</v>
      </c>
      <c r="B414" s="144" t="s">
        <v>386</v>
      </c>
      <c r="C414" s="144">
        <v>50</v>
      </c>
      <c r="D414" s="144" t="s">
        <v>753</v>
      </c>
      <c r="E414" s="512">
        <v>0</v>
      </c>
      <c r="F414" s="523"/>
    </row>
    <row r="415" spans="1:6" ht="81.75" customHeight="1" x14ac:dyDescent="0.25">
      <c r="A415" s="4" t="s">
        <v>722</v>
      </c>
      <c r="B415" s="144" t="s">
        <v>386</v>
      </c>
      <c r="C415" s="144">
        <v>28</v>
      </c>
      <c r="D415" s="144" t="s">
        <v>752</v>
      </c>
      <c r="E415" s="512">
        <v>0</v>
      </c>
      <c r="F415" s="523"/>
    </row>
    <row r="416" spans="1:6" ht="31.5" x14ac:dyDescent="0.25">
      <c r="A416" s="4" t="s">
        <v>723</v>
      </c>
      <c r="B416" s="144" t="s">
        <v>747</v>
      </c>
      <c r="C416" s="144" t="s">
        <v>698</v>
      </c>
      <c r="D416" s="144" t="s">
        <v>698</v>
      </c>
      <c r="E416" s="512">
        <v>0</v>
      </c>
      <c r="F416" s="523"/>
    </row>
    <row r="417" spans="1:6" ht="31.5" x14ac:dyDescent="0.25">
      <c r="A417" s="4" t="s">
        <v>724</v>
      </c>
      <c r="B417" s="144" t="s">
        <v>754</v>
      </c>
      <c r="C417" s="144" t="s">
        <v>725</v>
      </c>
      <c r="D417" s="144">
        <v>9</v>
      </c>
      <c r="E417" s="512">
        <v>100</v>
      </c>
      <c r="F417" s="523"/>
    </row>
    <row r="418" spans="1:6" ht="47.25" x14ac:dyDescent="0.25">
      <c r="A418" s="4" t="s">
        <v>726</v>
      </c>
      <c r="B418" s="144" t="s">
        <v>755</v>
      </c>
      <c r="C418" s="144">
        <v>5</v>
      </c>
      <c r="D418" s="144">
        <v>9</v>
      </c>
      <c r="E418" s="512">
        <v>100</v>
      </c>
      <c r="F418" s="523"/>
    </row>
    <row r="419" spans="1:6" ht="23.25" customHeight="1" x14ac:dyDescent="0.25">
      <c r="A419" s="4" t="s">
        <v>727</v>
      </c>
      <c r="B419" s="144" t="s">
        <v>755</v>
      </c>
      <c r="C419" s="144">
        <v>10</v>
      </c>
      <c r="D419" s="144" t="s">
        <v>752</v>
      </c>
      <c r="E419" s="512">
        <v>0</v>
      </c>
      <c r="F419" s="523"/>
    </row>
    <row r="420" spans="1:6" ht="33.75" customHeight="1" x14ac:dyDescent="0.25">
      <c r="A420" s="887" t="s">
        <v>1162</v>
      </c>
      <c r="B420" s="888"/>
      <c r="C420" s="888"/>
      <c r="D420" s="888"/>
      <c r="E420" s="889"/>
      <c r="F420" s="550">
        <f>SUM(E421+E422+E423+E424+E425)/5</f>
        <v>72.626666666666665</v>
      </c>
    </row>
    <row r="421" spans="1:6" ht="20.25" customHeight="1" x14ac:dyDescent="0.25">
      <c r="A421" s="166" t="s">
        <v>813</v>
      </c>
      <c r="B421" s="702" t="s">
        <v>395</v>
      </c>
      <c r="C421" s="144">
        <v>4</v>
      </c>
      <c r="D421" s="703">
        <v>3</v>
      </c>
      <c r="E421" s="519">
        <f>SUM(D421/C421*100)</f>
        <v>75</v>
      </c>
      <c r="F421" s="523"/>
    </row>
    <row r="422" spans="1:6" ht="31.5" x14ac:dyDescent="0.25">
      <c r="A422" s="166" t="s">
        <v>812</v>
      </c>
      <c r="B422" s="702" t="s">
        <v>395</v>
      </c>
      <c r="C422" s="144">
        <v>10</v>
      </c>
      <c r="D422" s="703">
        <v>5</v>
      </c>
      <c r="E422" s="519">
        <f t="shared" ref="E422:E425" si="25">SUM(D422/C422*100)</f>
        <v>50</v>
      </c>
      <c r="F422" s="523"/>
    </row>
    <row r="423" spans="1:6" ht="19.5" customHeight="1" x14ac:dyDescent="0.25">
      <c r="A423" s="166" t="s">
        <v>859</v>
      </c>
      <c r="B423" s="702" t="s">
        <v>414</v>
      </c>
      <c r="C423" s="144">
        <v>52.5</v>
      </c>
      <c r="D423" s="703">
        <v>41.3</v>
      </c>
      <c r="E423" s="519">
        <f t="shared" si="25"/>
        <v>78.666666666666657</v>
      </c>
      <c r="F423" s="523"/>
    </row>
    <row r="424" spans="1:6" ht="31.5" x14ac:dyDescent="0.25">
      <c r="A424" s="166" t="s">
        <v>858</v>
      </c>
      <c r="B424" s="702" t="s">
        <v>395</v>
      </c>
      <c r="C424" s="144">
        <v>750</v>
      </c>
      <c r="D424" s="703">
        <v>446</v>
      </c>
      <c r="E424" s="519">
        <f t="shared" si="25"/>
        <v>59.466666666666669</v>
      </c>
      <c r="F424" s="523"/>
    </row>
    <row r="425" spans="1:6" ht="31.5" x14ac:dyDescent="0.25">
      <c r="A425" s="166" t="s">
        <v>860</v>
      </c>
      <c r="B425" s="702" t="s">
        <v>395</v>
      </c>
      <c r="C425" s="144">
        <v>4</v>
      </c>
      <c r="D425" s="703">
        <v>4</v>
      </c>
      <c r="E425" s="519">
        <f t="shared" si="25"/>
        <v>100</v>
      </c>
      <c r="F425" s="523"/>
    </row>
  </sheetData>
  <mergeCells count="106">
    <mergeCell ref="A420:E420"/>
    <mergeCell ref="A125:F125"/>
    <mergeCell ref="A121:I121"/>
    <mergeCell ref="A384:E384"/>
    <mergeCell ref="A391:E391"/>
    <mergeCell ref="A375:E375"/>
    <mergeCell ref="A24:E24"/>
    <mergeCell ref="A1:F1"/>
    <mergeCell ref="A3:A5"/>
    <mergeCell ref="B3:B5"/>
    <mergeCell ref="C3:C4"/>
    <mergeCell ref="D3:D4"/>
    <mergeCell ref="E3:E5"/>
    <mergeCell ref="F3:F5"/>
    <mergeCell ref="C5:D5"/>
    <mergeCell ref="A7:E7"/>
    <mergeCell ref="A8:E8"/>
    <mergeCell ref="A12:E12"/>
    <mergeCell ref="A18:E18"/>
    <mergeCell ref="A21:E21"/>
    <mergeCell ref="A72:E72"/>
    <mergeCell ref="A26:D26"/>
    <mergeCell ref="A29:E29"/>
    <mergeCell ref="A31:E31"/>
    <mergeCell ref="A33:E33"/>
    <mergeCell ref="A35:E35"/>
    <mergeCell ref="A38:E38"/>
    <mergeCell ref="A40:E40"/>
    <mergeCell ref="A41:E41"/>
    <mergeCell ref="A47:E47"/>
    <mergeCell ref="A70:E70"/>
    <mergeCell ref="A71:E71"/>
    <mergeCell ref="A131:E131"/>
    <mergeCell ref="A73:E73"/>
    <mergeCell ref="A83:E83"/>
    <mergeCell ref="A90:E90"/>
    <mergeCell ref="A91:E91"/>
    <mergeCell ref="A92:E92"/>
    <mergeCell ref="A96:E96"/>
    <mergeCell ref="A100:E100"/>
    <mergeCell ref="A104:E104"/>
    <mergeCell ref="A127:F127"/>
    <mergeCell ref="A129:E129"/>
    <mergeCell ref="A130:E130"/>
    <mergeCell ref="A107:F107"/>
    <mergeCell ref="A113:F113"/>
    <mergeCell ref="A119:F119"/>
    <mergeCell ref="A123:F123"/>
    <mergeCell ref="A175:E175"/>
    <mergeCell ref="A132:E132"/>
    <mergeCell ref="A135:F135"/>
    <mergeCell ref="A139:E139"/>
    <mergeCell ref="A140:E140"/>
    <mergeCell ref="A143:E143"/>
    <mergeCell ref="A146:E146"/>
    <mergeCell ref="A149:E149"/>
    <mergeCell ref="A150:F150"/>
    <mergeCell ref="A164:E164"/>
    <mergeCell ref="A165:F165"/>
    <mergeCell ref="A174:E174"/>
    <mergeCell ref="A160:F160"/>
    <mergeCell ref="A216:F216"/>
    <mergeCell ref="A183:E183"/>
    <mergeCell ref="A184:E184"/>
    <mergeCell ref="A192:E192"/>
    <mergeCell ref="A193:E193"/>
    <mergeCell ref="A197:E197"/>
    <mergeCell ref="A198:E198"/>
    <mergeCell ref="A207:E207"/>
    <mergeCell ref="A208:E208"/>
    <mergeCell ref="A212:E212"/>
    <mergeCell ref="A213:E213"/>
    <mergeCell ref="A214:E214"/>
    <mergeCell ref="A263:E263"/>
    <mergeCell ref="A264:E264"/>
    <mergeCell ref="A270:E270"/>
    <mergeCell ref="A278:E278"/>
    <mergeCell ref="A285:E285"/>
    <mergeCell ref="A286:E286"/>
    <mergeCell ref="A287:E287"/>
    <mergeCell ref="A291:E291"/>
    <mergeCell ref="A298:E298"/>
    <mergeCell ref="A48:E48"/>
    <mergeCell ref="A383:E383"/>
    <mergeCell ref="A390:E390"/>
    <mergeCell ref="A312:D312"/>
    <mergeCell ref="A319:E319"/>
    <mergeCell ref="A333:E333"/>
    <mergeCell ref="A339:E339"/>
    <mergeCell ref="A361:E361"/>
    <mergeCell ref="A374:E374"/>
    <mergeCell ref="A309:D309"/>
    <mergeCell ref="A302:E302"/>
    <mergeCell ref="A306:F306"/>
    <mergeCell ref="A262:E262"/>
    <mergeCell ref="A220:F220"/>
    <mergeCell ref="A224:F224"/>
    <mergeCell ref="A226:F226"/>
    <mergeCell ref="A228:E228"/>
    <mergeCell ref="A229:E229"/>
    <mergeCell ref="A237:E237"/>
    <mergeCell ref="A238:E238"/>
    <mergeCell ref="A242:E242"/>
    <mergeCell ref="A243:E243"/>
    <mergeCell ref="A253:E253"/>
    <mergeCell ref="A254:E25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6"/>
  <sheetViews>
    <sheetView topLeftCell="A496" zoomScale="93" zoomScaleNormal="93" workbookViewId="0">
      <selection activeCell="C397" sqref="C397"/>
    </sheetView>
  </sheetViews>
  <sheetFormatPr defaultRowHeight="15.75" x14ac:dyDescent="0.25"/>
  <cols>
    <col min="1" max="1" width="2.8984375" style="187" customWidth="1"/>
    <col min="2" max="2" width="51" style="187" customWidth="1"/>
    <col min="3" max="3" width="12.5" style="187" customWidth="1"/>
    <col min="4" max="4" width="9.69921875" style="187" customWidth="1"/>
    <col min="5" max="5" width="9.59765625" style="187" customWidth="1"/>
    <col min="6" max="6" width="8.8984375" style="187" customWidth="1"/>
    <col min="7" max="7" width="20.09765625" style="187" customWidth="1"/>
    <col min="8" max="8" width="20.59765625" style="187" customWidth="1"/>
    <col min="9" max="16384" width="8.796875" style="187"/>
  </cols>
  <sheetData>
    <row r="1" spans="1:8" x14ac:dyDescent="0.25">
      <c r="A1" s="920" t="s">
        <v>861</v>
      </c>
      <c r="B1" s="921"/>
      <c r="C1" s="921"/>
      <c r="D1" s="921"/>
      <c r="E1" s="921"/>
      <c r="F1" s="921"/>
      <c r="G1" s="921"/>
    </row>
    <row r="2" spans="1:8" ht="15.75" customHeight="1" x14ac:dyDescent="0.25">
      <c r="A2" s="920" t="s">
        <v>1073</v>
      </c>
      <c r="B2" s="921"/>
      <c r="C2" s="921"/>
      <c r="D2" s="921"/>
      <c r="E2" s="921"/>
      <c r="F2" s="921"/>
      <c r="G2" s="921"/>
    </row>
    <row r="3" spans="1:8" ht="18.75" customHeight="1" x14ac:dyDescent="0.25">
      <c r="A3" s="920"/>
      <c r="B3" s="921"/>
      <c r="C3" s="921"/>
      <c r="D3" s="921"/>
      <c r="E3" s="921"/>
      <c r="F3" s="921"/>
      <c r="G3" s="921"/>
    </row>
    <row r="4" spans="1:8" ht="110.25" x14ac:dyDescent="0.25">
      <c r="A4" s="144" t="s">
        <v>862</v>
      </c>
      <c r="B4" s="144" t="s">
        <v>863</v>
      </c>
      <c r="C4" s="144" t="s">
        <v>864</v>
      </c>
      <c r="D4" s="144" t="s">
        <v>865</v>
      </c>
      <c r="E4" s="144" t="s">
        <v>866</v>
      </c>
      <c r="F4" s="144" t="s">
        <v>867</v>
      </c>
      <c r="G4" s="144" t="s">
        <v>868</v>
      </c>
      <c r="H4" s="144" t="s">
        <v>869</v>
      </c>
    </row>
    <row r="5" spans="1:8" ht="23.25" customHeight="1" x14ac:dyDescent="0.25">
      <c r="A5" s="188">
        <v>1</v>
      </c>
      <c r="B5" s="188">
        <v>2</v>
      </c>
      <c r="C5" s="188">
        <v>3</v>
      </c>
      <c r="D5" s="188">
        <v>4</v>
      </c>
      <c r="E5" s="188">
        <v>5</v>
      </c>
      <c r="F5" s="188"/>
      <c r="G5" s="188">
        <v>6</v>
      </c>
      <c r="H5" s="18"/>
    </row>
    <row r="6" spans="1:8" ht="38.25" customHeight="1" x14ac:dyDescent="0.25">
      <c r="A6" s="19" t="s">
        <v>870</v>
      </c>
      <c r="B6" s="189" t="s">
        <v>83</v>
      </c>
      <c r="C6" s="190">
        <f>SUM(C7+C16+C19)</f>
        <v>1255</v>
      </c>
      <c r="D6" s="191">
        <f>SUM(D7+D16+D19)</f>
        <v>1253.7469700000001</v>
      </c>
      <c r="E6" s="192">
        <f>SUM(D6/C6*100)</f>
        <v>99.90015697211156</v>
      </c>
      <c r="F6" s="193">
        <f>C6-D6</f>
        <v>1.2530299999998533</v>
      </c>
      <c r="G6" s="20"/>
      <c r="H6" s="245" t="s">
        <v>871</v>
      </c>
    </row>
    <row r="7" spans="1:8" x14ac:dyDescent="0.25">
      <c r="A7" s="144"/>
      <c r="B7" s="194" t="s">
        <v>84</v>
      </c>
      <c r="C7" s="195">
        <f>SUM(C8:C15)</f>
        <v>475</v>
      </c>
      <c r="D7" s="195">
        <f>SUM(D8:D15)</f>
        <v>473.74697000000003</v>
      </c>
      <c r="E7" s="196">
        <f t="shared" ref="E7:E19" si="0">SUM(D7/C7*100)</f>
        <v>99.736204210526324</v>
      </c>
      <c r="F7" s="195">
        <f>SUM(F8:F15)</f>
        <v>1.2530300000000025</v>
      </c>
      <c r="G7" s="188" t="s">
        <v>940</v>
      </c>
      <c r="H7" s="328"/>
    </row>
    <row r="8" spans="1:8" ht="31.5" x14ac:dyDescent="0.25">
      <c r="A8" s="144"/>
      <c r="B8" s="28" t="s">
        <v>85</v>
      </c>
      <c r="C8" s="402">
        <v>15</v>
      </c>
      <c r="D8" s="197">
        <v>15</v>
      </c>
      <c r="E8" s="198">
        <f>SUM(D8/C8*100)</f>
        <v>100</v>
      </c>
      <c r="F8" s="199">
        <f>C8-D8</f>
        <v>0</v>
      </c>
      <c r="G8" s="188" t="s">
        <v>940</v>
      </c>
      <c r="H8" s="328"/>
    </row>
    <row r="9" spans="1:8" ht="31.5" x14ac:dyDescent="0.25">
      <c r="A9" s="144"/>
      <c r="B9" s="27" t="s">
        <v>86</v>
      </c>
      <c r="C9" s="426">
        <v>224.83224000000001</v>
      </c>
      <c r="D9" s="436">
        <v>224.83224000000001</v>
      </c>
      <c r="E9" s="198">
        <f t="shared" ref="E9:E15" si="1">SUM(D9/C9*100)</f>
        <v>100</v>
      </c>
      <c r="F9" s="199">
        <f t="shared" ref="F9:F20" si="2">C9-D9</f>
        <v>0</v>
      </c>
      <c r="G9" s="188" t="s">
        <v>940</v>
      </c>
      <c r="H9" s="328"/>
    </row>
    <row r="10" spans="1:8" x14ac:dyDescent="0.25">
      <c r="A10" s="144"/>
      <c r="B10" s="27" t="s">
        <v>87</v>
      </c>
      <c r="C10" s="402">
        <v>50</v>
      </c>
      <c r="D10" s="197">
        <v>50</v>
      </c>
      <c r="E10" s="198">
        <f t="shared" si="1"/>
        <v>100</v>
      </c>
      <c r="F10" s="199">
        <f t="shared" si="2"/>
        <v>0</v>
      </c>
      <c r="G10" s="188" t="s">
        <v>940</v>
      </c>
      <c r="H10" s="328"/>
    </row>
    <row r="11" spans="1:8" ht="31.5" x14ac:dyDescent="0.25">
      <c r="A11" s="144"/>
      <c r="B11" s="27" t="s">
        <v>873</v>
      </c>
      <c r="C11" s="402">
        <v>45</v>
      </c>
      <c r="D11" s="197">
        <v>45</v>
      </c>
      <c r="E11" s="198">
        <f t="shared" si="1"/>
        <v>100</v>
      </c>
      <c r="F11" s="199">
        <f t="shared" si="2"/>
        <v>0</v>
      </c>
      <c r="G11" s="188" t="s">
        <v>940</v>
      </c>
      <c r="H11" s="328"/>
    </row>
    <row r="12" spans="1:8" hidden="1" x14ac:dyDescent="0.25">
      <c r="A12" s="144"/>
      <c r="B12" s="27" t="s">
        <v>874</v>
      </c>
      <c r="C12" s="402">
        <v>0</v>
      </c>
      <c r="D12" s="197">
        <v>0</v>
      </c>
      <c r="E12" s="198" t="e">
        <f t="shared" si="1"/>
        <v>#DIV/0!</v>
      </c>
      <c r="F12" s="199">
        <f t="shared" si="2"/>
        <v>0</v>
      </c>
      <c r="G12" s="188" t="s">
        <v>940</v>
      </c>
      <c r="H12" s="328"/>
    </row>
    <row r="13" spans="1:8" ht="31.5" x14ac:dyDescent="0.25">
      <c r="A13" s="144"/>
      <c r="B13" s="27" t="s">
        <v>875</v>
      </c>
      <c r="C13" s="402">
        <v>14</v>
      </c>
      <c r="D13" s="197">
        <v>14</v>
      </c>
      <c r="E13" s="198">
        <f t="shared" si="1"/>
        <v>100</v>
      </c>
      <c r="F13" s="199">
        <f t="shared" si="2"/>
        <v>0</v>
      </c>
      <c r="G13" s="188" t="s">
        <v>940</v>
      </c>
      <c r="H13" s="328"/>
    </row>
    <row r="14" spans="1:8" x14ac:dyDescent="0.25">
      <c r="A14" s="144"/>
      <c r="B14" s="27" t="s">
        <v>1019</v>
      </c>
      <c r="C14" s="402">
        <v>107</v>
      </c>
      <c r="D14" s="197">
        <v>107</v>
      </c>
      <c r="E14" s="198">
        <f t="shared" si="1"/>
        <v>100</v>
      </c>
      <c r="F14" s="199">
        <f t="shared" si="2"/>
        <v>0</v>
      </c>
      <c r="G14" s="188" t="s">
        <v>940</v>
      </c>
      <c r="H14" s="328"/>
    </row>
    <row r="15" spans="1:8" ht="47.25" x14ac:dyDescent="0.25">
      <c r="A15" s="144"/>
      <c r="B15" s="27" t="s">
        <v>92</v>
      </c>
      <c r="C15" s="426">
        <v>19.167760000000001</v>
      </c>
      <c r="D15" s="426">
        <v>17.914729999999999</v>
      </c>
      <c r="E15" s="198">
        <f t="shared" si="1"/>
        <v>93.462825077108633</v>
      </c>
      <c r="F15" s="199">
        <f t="shared" si="2"/>
        <v>1.2530300000000025</v>
      </c>
      <c r="G15" s="437" t="s">
        <v>1089</v>
      </c>
      <c r="H15" s="328"/>
    </row>
    <row r="16" spans="1:8" x14ac:dyDescent="0.25">
      <c r="A16" s="144"/>
      <c r="B16" s="194" t="s">
        <v>93</v>
      </c>
      <c r="C16" s="195">
        <f>SUM(C17:C18)</f>
        <v>325</v>
      </c>
      <c r="D16" s="195">
        <f>SUM(D17:D18)</f>
        <v>325</v>
      </c>
      <c r="E16" s="196">
        <f t="shared" si="0"/>
        <v>100</v>
      </c>
      <c r="F16" s="201">
        <f t="shared" si="2"/>
        <v>0</v>
      </c>
      <c r="G16" s="188" t="s">
        <v>940</v>
      </c>
      <c r="H16" s="328"/>
    </row>
    <row r="17" spans="1:8" x14ac:dyDescent="0.25">
      <c r="A17" s="144"/>
      <c r="B17" s="28" t="s">
        <v>94</v>
      </c>
      <c r="C17" s="402">
        <v>300</v>
      </c>
      <c r="D17" s="197">
        <v>300</v>
      </c>
      <c r="E17" s="198">
        <f t="shared" si="0"/>
        <v>100</v>
      </c>
      <c r="F17" s="199">
        <f t="shared" si="2"/>
        <v>0</v>
      </c>
      <c r="G17" s="188" t="s">
        <v>940</v>
      </c>
      <c r="H17" s="328"/>
    </row>
    <row r="18" spans="1:8" x14ac:dyDescent="0.25">
      <c r="A18" s="144"/>
      <c r="B18" s="28" t="s">
        <v>95</v>
      </c>
      <c r="C18" s="402">
        <v>25</v>
      </c>
      <c r="D18" s="197">
        <v>25</v>
      </c>
      <c r="E18" s="198">
        <f t="shared" si="0"/>
        <v>100</v>
      </c>
      <c r="F18" s="199">
        <f t="shared" si="2"/>
        <v>0</v>
      </c>
      <c r="G18" s="188" t="s">
        <v>940</v>
      </c>
      <c r="H18" s="328"/>
    </row>
    <row r="19" spans="1:8" x14ac:dyDescent="0.25">
      <c r="A19" s="144"/>
      <c r="B19" s="194" t="s">
        <v>96</v>
      </c>
      <c r="C19" s="202">
        <f>SUM(C20)</f>
        <v>455</v>
      </c>
      <c r="D19" s="202">
        <f>SUM(D20)</f>
        <v>455</v>
      </c>
      <c r="E19" s="196">
        <f t="shared" si="0"/>
        <v>100</v>
      </c>
      <c r="F19" s="201">
        <f t="shared" si="2"/>
        <v>0</v>
      </c>
      <c r="G19" s="188" t="s">
        <v>940</v>
      </c>
      <c r="H19" s="328"/>
    </row>
    <row r="20" spans="1:8" ht="31.5" x14ac:dyDescent="0.25">
      <c r="A20" s="144"/>
      <c r="B20" s="22" t="s">
        <v>97</v>
      </c>
      <c r="C20" s="402">
        <v>455</v>
      </c>
      <c r="D20" s="197">
        <v>455</v>
      </c>
      <c r="E20" s="198">
        <f>SUM(D20/C20*100)</f>
        <v>100</v>
      </c>
      <c r="F20" s="199">
        <f t="shared" si="2"/>
        <v>0</v>
      </c>
      <c r="G20" s="438" t="s">
        <v>1080</v>
      </c>
      <c r="H20" s="328"/>
    </row>
    <row r="21" spans="1:8" ht="32.25" customHeight="1" x14ac:dyDescent="0.25">
      <c r="A21" s="19">
        <v>2</v>
      </c>
      <c r="B21" s="189" t="s">
        <v>62</v>
      </c>
      <c r="C21" s="488">
        <f>SUM(C22+C25+C46+C50+C68)</f>
        <v>670</v>
      </c>
      <c r="D21" s="488">
        <f>SUM(D22+D25+D46+D50+D68)</f>
        <v>669.54984000000002</v>
      </c>
      <c r="E21" s="192">
        <f>SUM(D21/C21*100)</f>
        <v>99.932811940298507</v>
      </c>
      <c r="F21" s="193">
        <f>C21-D21</f>
        <v>0.45015999999998257</v>
      </c>
      <c r="G21" s="23"/>
      <c r="H21" s="245" t="s">
        <v>871</v>
      </c>
    </row>
    <row r="22" spans="1:8" x14ac:dyDescent="0.25">
      <c r="A22" s="210"/>
      <c r="B22" s="204" t="s">
        <v>876</v>
      </c>
      <c r="C22" s="205">
        <f>SUM(C23:C24)</f>
        <v>116.21162</v>
      </c>
      <c r="D22" s="205">
        <f t="shared" ref="D22:F22" si="3">SUM(D23:D24)</f>
        <v>116.21162</v>
      </c>
      <c r="E22" s="196">
        <f>SUM(D22/C22*100)</f>
        <v>100</v>
      </c>
      <c r="F22" s="205">
        <f t="shared" si="3"/>
        <v>0</v>
      </c>
      <c r="G22" s="188" t="s">
        <v>940</v>
      </c>
      <c r="H22" s="328"/>
    </row>
    <row r="23" spans="1:8" ht="31.5" x14ac:dyDescent="0.25">
      <c r="A23" s="210"/>
      <c r="B23" s="28" t="s">
        <v>877</v>
      </c>
      <c r="C23" s="503">
        <v>5</v>
      </c>
      <c r="D23" s="503">
        <v>5</v>
      </c>
      <c r="E23" s="198">
        <f t="shared" ref="E23:E24" si="4">SUM(D23/C23*100)</f>
        <v>100</v>
      </c>
      <c r="F23" s="199">
        <f>C23-D23</f>
        <v>0</v>
      </c>
      <c r="G23" s="188" t="s">
        <v>940</v>
      </c>
      <c r="H23" s="328"/>
    </row>
    <row r="24" spans="1:8" ht="31.5" x14ac:dyDescent="0.25">
      <c r="A24" s="210"/>
      <c r="B24" s="27" t="s">
        <v>878</v>
      </c>
      <c r="C24" s="503">
        <v>111.21162</v>
      </c>
      <c r="D24" s="503">
        <v>111.21162</v>
      </c>
      <c r="E24" s="198">
        <f t="shared" si="4"/>
        <v>100</v>
      </c>
      <c r="F24" s="199">
        <f t="shared" ref="F24" si="5">C24-D24</f>
        <v>0</v>
      </c>
      <c r="G24" s="188" t="s">
        <v>940</v>
      </c>
      <c r="H24" s="328"/>
    </row>
    <row r="25" spans="1:8" ht="31.5" x14ac:dyDescent="0.25">
      <c r="A25" s="210"/>
      <c r="B25" s="204" t="s">
        <v>536</v>
      </c>
      <c r="C25" s="205">
        <f>SUM(C26:C27)</f>
        <v>230.83278000000001</v>
      </c>
      <c r="D25" s="205">
        <f>SUM(D26:D27)</f>
        <v>230.83278000000001</v>
      </c>
      <c r="E25" s="196">
        <f>SUM(D25/C25*100)</f>
        <v>100</v>
      </c>
      <c r="F25" s="205">
        <f>SUM(F26+F27)</f>
        <v>0</v>
      </c>
      <c r="G25" s="188" t="s">
        <v>940</v>
      </c>
      <c r="H25" s="328"/>
    </row>
    <row r="26" spans="1:8" x14ac:dyDescent="0.25">
      <c r="A26" s="210"/>
      <c r="B26" s="22" t="s">
        <v>66</v>
      </c>
      <c r="C26" s="503">
        <v>25.05</v>
      </c>
      <c r="D26" s="503">
        <v>25.05</v>
      </c>
      <c r="E26" s="198">
        <f t="shared" ref="E26:E45" si="6">SUM(D26/C26*100)</f>
        <v>100</v>
      </c>
      <c r="F26" s="199">
        <f>C26-D26</f>
        <v>0</v>
      </c>
      <c r="G26" s="188" t="s">
        <v>940</v>
      </c>
      <c r="H26" s="328"/>
    </row>
    <row r="27" spans="1:8" ht="47.25" x14ac:dyDescent="0.25">
      <c r="A27" s="210"/>
      <c r="B27" s="28" t="s">
        <v>1026</v>
      </c>
      <c r="C27" s="503">
        <f>SUM(C28:C45)</f>
        <v>205.78278</v>
      </c>
      <c r="D27" s="503">
        <f>SUM(D28:D45)</f>
        <v>205.78278</v>
      </c>
      <c r="E27" s="198">
        <f t="shared" si="6"/>
        <v>100</v>
      </c>
      <c r="F27" s="199">
        <f t="shared" ref="F27" si="7">C27-D27</f>
        <v>0</v>
      </c>
      <c r="G27" s="188" t="s">
        <v>940</v>
      </c>
      <c r="H27" s="328"/>
    </row>
    <row r="28" spans="1:8" hidden="1" x14ac:dyDescent="0.25">
      <c r="A28" s="486"/>
      <c r="B28" s="209" t="s">
        <v>879</v>
      </c>
      <c r="C28" s="124" t="s">
        <v>872</v>
      </c>
      <c r="D28" s="124"/>
      <c r="E28" s="198" t="e">
        <f t="shared" si="6"/>
        <v>#VALUE!</v>
      </c>
      <c r="F28" s="199" t="s">
        <v>872</v>
      </c>
      <c r="G28" s="188" t="s">
        <v>940</v>
      </c>
      <c r="H28" s="328"/>
    </row>
    <row r="29" spans="1:8" x14ac:dyDescent="0.25">
      <c r="A29" s="486"/>
      <c r="B29" s="209" t="s">
        <v>880</v>
      </c>
      <c r="C29" s="121">
        <v>31.18</v>
      </c>
      <c r="D29" s="124">
        <v>31.18</v>
      </c>
      <c r="E29" s="198">
        <f t="shared" si="6"/>
        <v>100</v>
      </c>
      <c r="F29" s="199">
        <f t="shared" ref="F29:F30" si="8">C29-D29</f>
        <v>0</v>
      </c>
      <c r="G29" s="188" t="s">
        <v>940</v>
      </c>
      <c r="H29" s="328"/>
    </row>
    <row r="30" spans="1:8" ht="15" customHeight="1" x14ac:dyDescent="0.25">
      <c r="A30" s="486"/>
      <c r="B30" s="209" t="s">
        <v>881</v>
      </c>
      <c r="C30" s="121">
        <v>3</v>
      </c>
      <c r="D30" s="124">
        <v>3</v>
      </c>
      <c r="E30" s="198">
        <f t="shared" si="6"/>
        <v>100</v>
      </c>
      <c r="F30" s="199">
        <f t="shared" si="8"/>
        <v>0</v>
      </c>
      <c r="G30" s="188" t="s">
        <v>940</v>
      </c>
      <c r="H30" s="328"/>
    </row>
    <row r="31" spans="1:8" hidden="1" x14ac:dyDescent="0.25">
      <c r="A31" s="486"/>
      <c r="B31" s="209" t="s">
        <v>882</v>
      </c>
      <c r="C31" s="121" t="s">
        <v>872</v>
      </c>
      <c r="D31" s="124" t="s">
        <v>872</v>
      </c>
      <c r="E31" s="198" t="e">
        <f t="shared" si="6"/>
        <v>#VALUE!</v>
      </c>
      <c r="F31" s="199" t="s">
        <v>872</v>
      </c>
      <c r="G31" s="188" t="s">
        <v>940</v>
      </c>
      <c r="H31" s="328"/>
    </row>
    <row r="32" spans="1:8" ht="18.75" customHeight="1" x14ac:dyDescent="0.25">
      <c r="A32" s="486"/>
      <c r="B32" s="722" t="s">
        <v>1064</v>
      </c>
      <c r="C32" s="723">
        <v>5.44</v>
      </c>
      <c r="D32" s="724">
        <v>5.44</v>
      </c>
      <c r="E32" s="198">
        <f t="shared" ref="E32" si="9">SUM(D32/C32*100)</f>
        <v>100</v>
      </c>
      <c r="F32" s="199">
        <f t="shared" ref="F32" si="10">C32-D32</f>
        <v>0</v>
      </c>
      <c r="G32" s="188" t="s">
        <v>940</v>
      </c>
      <c r="H32" s="328"/>
    </row>
    <row r="33" spans="1:8" ht="18" customHeight="1" x14ac:dyDescent="0.25">
      <c r="A33" s="486"/>
      <c r="B33" s="209" t="s">
        <v>883</v>
      </c>
      <c r="C33" s="121">
        <v>13.831</v>
      </c>
      <c r="D33" s="124">
        <v>13.831</v>
      </c>
      <c r="E33" s="198">
        <f t="shared" si="6"/>
        <v>100</v>
      </c>
      <c r="F33" s="199">
        <f t="shared" ref="F33:F45" si="11">C33-D33</f>
        <v>0</v>
      </c>
      <c r="G33" s="188" t="s">
        <v>940</v>
      </c>
      <c r="H33" s="328"/>
    </row>
    <row r="34" spans="1:8" ht="20.25" customHeight="1" x14ac:dyDescent="0.25">
      <c r="A34" s="486"/>
      <c r="B34" s="209" t="s">
        <v>884</v>
      </c>
      <c r="C34" s="121">
        <v>3</v>
      </c>
      <c r="D34" s="124">
        <v>3</v>
      </c>
      <c r="E34" s="198">
        <f t="shared" si="6"/>
        <v>100</v>
      </c>
      <c r="F34" s="199">
        <f t="shared" si="11"/>
        <v>0</v>
      </c>
      <c r="G34" s="188" t="s">
        <v>940</v>
      </c>
      <c r="H34" s="328"/>
    </row>
    <row r="35" spans="1:8" ht="37.5" customHeight="1" x14ac:dyDescent="0.25">
      <c r="A35" s="486"/>
      <c r="B35" s="722" t="s">
        <v>886</v>
      </c>
      <c r="C35" s="436">
        <v>4.125</v>
      </c>
      <c r="D35" s="426">
        <v>4.125</v>
      </c>
      <c r="E35" s="198">
        <f t="shared" si="6"/>
        <v>100</v>
      </c>
      <c r="F35" s="199">
        <f t="shared" si="11"/>
        <v>0</v>
      </c>
      <c r="G35" s="188" t="s">
        <v>940</v>
      </c>
      <c r="H35" s="328"/>
    </row>
    <row r="36" spans="1:8" ht="36" customHeight="1" x14ac:dyDescent="0.25">
      <c r="A36" s="486"/>
      <c r="B36" s="722" t="s">
        <v>885</v>
      </c>
      <c r="C36" s="436">
        <v>40.15</v>
      </c>
      <c r="D36" s="124">
        <v>40.15</v>
      </c>
      <c r="E36" s="508">
        <v>100</v>
      </c>
      <c r="F36" s="508">
        <v>0</v>
      </c>
      <c r="G36" s="188" t="s">
        <v>940</v>
      </c>
      <c r="H36" s="328"/>
    </row>
    <row r="37" spans="1:8" ht="33" customHeight="1" x14ac:dyDescent="0.25">
      <c r="A37" s="486"/>
      <c r="B37" s="209" t="s">
        <v>1067</v>
      </c>
      <c r="C37" s="121">
        <v>5.7249999999999996</v>
      </c>
      <c r="D37" s="121">
        <v>5.7249999999999996</v>
      </c>
      <c r="E37" s="198">
        <f t="shared" si="6"/>
        <v>100</v>
      </c>
      <c r="F37" s="199">
        <f t="shared" si="11"/>
        <v>0</v>
      </c>
      <c r="G37" s="188" t="s">
        <v>940</v>
      </c>
      <c r="H37" s="328"/>
    </row>
    <row r="38" spans="1:8" ht="25.5" customHeight="1" x14ac:dyDescent="0.25">
      <c r="A38" s="486"/>
      <c r="B38" s="209" t="s">
        <v>887</v>
      </c>
      <c r="C38" s="121">
        <v>30.375</v>
      </c>
      <c r="D38" s="121">
        <v>30.375</v>
      </c>
      <c r="E38" s="198">
        <f t="shared" si="6"/>
        <v>100</v>
      </c>
      <c r="F38" s="199">
        <f t="shared" si="11"/>
        <v>0</v>
      </c>
      <c r="G38" s="188" t="s">
        <v>940</v>
      </c>
      <c r="H38" s="328"/>
    </row>
    <row r="39" spans="1:8" ht="31.5" x14ac:dyDescent="0.25">
      <c r="A39" s="486"/>
      <c r="B39" s="209" t="s">
        <v>888</v>
      </c>
      <c r="C39" s="121">
        <v>2.625</v>
      </c>
      <c r="D39" s="124">
        <v>2.625</v>
      </c>
      <c r="E39" s="198">
        <f t="shared" si="6"/>
        <v>100</v>
      </c>
      <c r="F39" s="199">
        <f t="shared" si="11"/>
        <v>0</v>
      </c>
      <c r="G39" s="188" t="s">
        <v>940</v>
      </c>
      <c r="H39" s="328"/>
    </row>
    <row r="40" spans="1:8" x14ac:dyDescent="0.25">
      <c r="A40" s="486"/>
      <c r="B40" s="209" t="s">
        <v>889</v>
      </c>
      <c r="C40" s="121">
        <v>9.375</v>
      </c>
      <c r="D40" s="124">
        <v>9.375</v>
      </c>
      <c r="E40" s="198">
        <f t="shared" si="6"/>
        <v>100</v>
      </c>
      <c r="F40" s="199">
        <f t="shared" si="11"/>
        <v>0</v>
      </c>
      <c r="G40" s="188" t="s">
        <v>940</v>
      </c>
      <c r="H40" s="328"/>
    </row>
    <row r="41" spans="1:8" ht="31.5" x14ac:dyDescent="0.25">
      <c r="A41" s="486"/>
      <c r="B41" s="722" t="s">
        <v>1066</v>
      </c>
      <c r="C41" s="723">
        <v>5.625</v>
      </c>
      <c r="D41" s="724">
        <v>5.625</v>
      </c>
      <c r="E41" s="198">
        <f t="shared" ref="E41" si="12">SUM(D41/C41*100)</f>
        <v>100</v>
      </c>
      <c r="F41" s="199">
        <f t="shared" ref="F41" si="13">C41-D41</f>
        <v>0</v>
      </c>
      <c r="G41" s="188" t="s">
        <v>940</v>
      </c>
      <c r="H41" s="328"/>
    </row>
    <row r="42" spans="1:8" ht="31.5" x14ac:dyDescent="0.25">
      <c r="A42" s="486"/>
      <c r="B42" s="668" t="s">
        <v>890</v>
      </c>
      <c r="C42" s="121">
        <v>0</v>
      </c>
      <c r="D42" s="121">
        <v>0</v>
      </c>
      <c r="E42" s="198">
        <v>0</v>
      </c>
      <c r="F42" s="207">
        <f t="shared" si="11"/>
        <v>0</v>
      </c>
      <c r="G42" s="188" t="s">
        <v>940</v>
      </c>
      <c r="H42" s="328"/>
    </row>
    <row r="43" spans="1:8" ht="33.75" customHeight="1" x14ac:dyDescent="0.25">
      <c r="A43" s="486"/>
      <c r="B43" s="725" t="s">
        <v>891</v>
      </c>
      <c r="C43" s="723">
        <v>19.331779999999998</v>
      </c>
      <c r="D43" s="724">
        <v>19.331779999999998</v>
      </c>
      <c r="E43" s="198">
        <f>SUM(D43/C43*100)</f>
        <v>100</v>
      </c>
      <c r="F43" s="199">
        <f t="shared" si="11"/>
        <v>0</v>
      </c>
      <c r="G43" s="188" t="s">
        <v>940</v>
      </c>
      <c r="H43" s="328"/>
    </row>
    <row r="44" spans="1:8" ht="25.5" customHeight="1" x14ac:dyDescent="0.25">
      <c r="A44" s="486"/>
      <c r="B44" s="722" t="s">
        <v>1065</v>
      </c>
      <c r="C44" s="723">
        <v>17</v>
      </c>
      <c r="D44" s="724">
        <v>17</v>
      </c>
      <c r="E44" s="439">
        <v>100</v>
      </c>
      <c r="F44" s="439">
        <v>0</v>
      </c>
      <c r="G44" s="188" t="s">
        <v>940</v>
      </c>
      <c r="H44" s="328"/>
    </row>
    <row r="45" spans="1:8" ht="31.5" x14ac:dyDescent="0.25">
      <c r="A45" s="486"/>
      <c r="B45" s="209" t="s">
        <v>892</v>
      </c>
      <c r="C45" s="121">
        <v>15</v>
      </c>
      <c r="D45" s="124">
        <v>15</v>
      </c>
      <c r="E45" s="198">
        <f t="shared" si="6"/>
        <v>100</v>
      </c>
      <c r="F45" s="199">
        <f t="shared" si="11"/>
        <v>0</v>
      </c>
      <c r="G45" s="188" t="s">
        <v>940</v>
      </c>
      <c r="H45" s="328"/>
    </row>
    <row r="46" spans="1:8" ht="31.5" x14ac:dyDescent="0.25">
      <c r="A46" s="210"/>
      <c r="B46" s="204" t="s">
        <v>893</v>
      </c>
      <c r="C46" s="205">
        <f>SUM(C47:C49)</f>
        <v>30</v>
      </c>
      <c r="D46" s="205">
        <f>SUM(D47:D49)</f>
        <v>30</v>
      </c>
      <c r="E46" s="201">
        <f t="shared" ref="E46" si="14">D46*100/C46</f>
        <v>100</v>
      </c>
      <c r="F46" s="205">
        <f>SUM(F47:F49)</f>
        <v>0</v>
      </c>
      <c r="G46" s="188" t="s">
        <v>940</v>
      </c>
      <c r="H46" s="328"/>
    </row>
    <row r="47" spans="1:8" ht="31.5" x14ac:dyDescent="0.25">
      <c r="A47" s="203"/>
      <c r="B47" s="28" t="s">
        <v>69</v>
      </c>
      <c r="C47" s="503">
        <v>20</v>
      </c>
      <c r="D47" s="503">
        <v>20</v>
      </c>
      <c r="E47" s="198">
        <f t="shared" ref="E47:E49" si="15">SUM(D47/C47*100)</f>
        <v>100</v>
      </c>
      <c r="F47" s="199">
        <f>C47-D47</f>
        <v>0</v>
      </c>
      <c r="G47" s="188" t="s">
        <v>940</v>
      </c>
      <c r="H47" s="328"/>
    </row>
    <row r="48" spans="1:8" ht="31.5" x14ac:dyDescent="0.25">
      <c r="A48" s="203"/>
      <c r="B48" s="28" t="s">
        <v>71</v>
      </c>
      <c r="C48" s="503">
        <v>0</v>
      </c>
      <c r="D48" s="503">
        <v>0</v>
      </c>
      <c r="E48" s="198">
        <v>0</v>
      </c>
      <c r="F48" s="199">
        <f t="shared" ref="F48:F49" si="16">C48-D48</f>
        <v>0</v>
      </c>
      <c r="G48" s="188" t="s">
        <v>940</v>
      </c>
      <c r="H48" s="328"/>
    </row>
    <row r="49" spans="1:8" ht="47.25" x14ac:dyDescent="0.25">
      <c r="A49" s="203"/>
      <c r="B49" s="28" t="s">
        <v>894</v>
      </c>
      <c r="C49" s="503">
        <v>10</v>
      </c>
      <c r="D49" s="503">
        <v>10</v>
      </c>
      <c r="E49" s="198">
        <f t="shared" si="15"/>
        <v>100</v>
      </c>
      <c r="F49" s="199">
        <f t="shared" si="16"/>
        <v>0</v>
      </c>
      <c r="G49" s="188" t="s">
        <v>940</v>
      </c>
      <c r="H49" s="328"/>
    </row>
    <row r="50" spans="1:8" ht="31.5" x14ac:dyDescent="0.25">
      <c r="A50" s="210"/>
      <c r="B50" s="204" t="s">
        <v>895</v>
      </c>
      <c r="C50" s="205">
        <f>SUM(C51+C65+C66+C67)</f>
        <v>144.13</v>
      </c>
      <c r="D50" s="205">
        <f>SUM(D51+D65+D66+D67)</f>
        <v>143.67984000000001</v>
      </c>
      <c r="E50" s="201">
        <f t="shared" ref="E50:E51" si="17">D50*100/C50</f>
        <v>99.687670852702425</v>
      </c>
      <c r="F50" s="205">
        <f>SUM(F51+F65+F66+F67)</f>
        <v>0.45015999999998257</v>
      </c>
      <c r="G50" s="188" t="s">
        <v>940</v>
      </c>
      <c r="H50" s="328"/>
    </row>
    <row r="51" spans="1:8" ht="47.25" x14ac:dyDescent="0.25">
      <c r="A51" s="210"/>
      <c r="B51" s="211" t="s">
        <v>896</v>
      </c>
      <c r="C51" s="233">
        <f>SUM(C52+C53+C59)</f>
        <v>144.13</v>
      </c>
      <c r="D51" s="233">
        <f>SUM(D52+D53+D59)</f>
        <v>143.67984000000001</v>
      </c>
      <c r="E51" s="208">
        <f t="shared" si="17"/>
        <v>99.687670852702425</v>
      </c>
      <c r="F51" s="208">
        <f>C51-D51</f>
        <v>0.45015999999998257</v>
      </c>
      <c r="G51" s="188" t="s">
        <v>940</v>
      </c>
      <c r="H51" s="328"/>
    </row>
    <row r="52" spans="1:8" x14ac:dyDescent="0.25">
      <c r="A52" s="486"/>
      <c r="B52" s="209" t="s">
        <v>897</v>
      </c>
      <c r="C52" s="124">
        <v>25.375</v>
      </c>
      <c r="D52" s="124">
        <v>25.375</v>
      </c>
      <c r="E52" s="199">
        <f>D52*100/C52</f>
        <v>100</v>
      </c>
      <c r="F52" s="199">
        <f t="shared" ref="F52:F67" si="18">C52-D52</f>
        <v>0</v>
      </c>
      <c r="G52" s="188" t="s">
        <v>940</v>
      </c>
      <c r="H52" s="328"/>
    </row>
    <row r="53" spans="1:8" ht="30" customHeight="1" x14ac:dyDescent="0.25">
      <c r="A53" s="486"/>
      <c r="B53" s="725" t="s">
        <v>898</v>
      </c>
      <c r="C53" s="124">
        <f>C54+C55+C56+C57+C58</f>
        <v>73.754999999999995</v>
      </c>
      <c r="D53" s="124">
        <f>SUM(D54:D58)</f>
        <v>73.304839999999999</v>
      </c>
      <c r="E53" s="199">
        <f t="shared" ref="E53:E64" si="19">D53*100/C53</f>
        <v>99.389654938648221</v>
      </c>
      <c r="F53" s="199">
        <f t="shared" si="18"/>
        <v>0.45015999999999678</v>
      </c>
      <c r="G53" s="188" t="s">
        <v>940</v>
      </c>
      <c r="H53" s="328"/>
    </row>
    <row r="54" spans="1:8" ht="30" customHeight="1" x14ac:dyDescent="0.25">
      <c r="A54" s="486"/>
      <c r="B54" s="209" t="s">
        <v>899</v>
      </c>
      <c r="C54" s="124">
        <v>15.9</v>
      </c>
      <c r="D54" s="124">
        <v>15.44984</v>
      </c>
      <c r="E54" s="199">
        <f t="shared" si="19"/>
        <v>97.168805031446539</v>
      </c>
      <c r="F54" s="199">
        <f t="shared" si="18"/>
        <v>0.45016000000000034</v>
      </c>
      <c r="G54" s="440" t="s">
        <v>1090</v>
      </c>
      <c r="H54" s="328"/>
    </row>
    <row r="55" spans="1:8" x14ac:dyDescent="0.25">
      <c r="A55" s="486"/>
      <c r="B55" s="209" t="s">
        <v>900</v>
      </c>
      <c r="C55" s="124">
        <v>14</v>
      </c>
      <c r="D55" s="124">
        <v>14</v>
      </c>
      <c r="E55" s="199">
        <f t="shared" si="19"/>
        <v>100</v>
      </c>
      <c r="F55" s="199">
        <f t="shared" si="18"/>
        <v>0</v>
      </c>
      <c r="G55" s="188" t="s">
        <v>940</v>
      </c>
      <c r="H55" s="328"/>
    </row>
    <row r="56" spans="1:8" ht="31.5" x14ac:dyDescent="0.25">
      <c r="A56" s="486"/>
      <c r="B56" s="209" t="s">
        <v>901</v>
      </c>
      <c r="C56" s="124">
        <v>15</v>
      </c>
      <c r="D56" s="124">
        <v>15</v>
      </c>
      <c r="E56" s="199">
        <f t="shared" si="19"/>
        <v>100</v>
      </c>
      <c r="F56" s="199">
        <f t="shared" si="18"/>
        <v>0</v>
      </c>
      <c r="G56" s="188" t="s">
        <v>940</v>
      </c>
      <c r="H56" s="328"/>
    </row>
    <row r="57" spans="1:8" ht="31.5" x14ac:dyDescent="0.25">
      <c r="A57" s="486"/>
      <c r="B57" s="209" t="s">
        <v>902</v>
      </c>
      <c r="C57" s="124">
        <v>21.855</v>
      </c>
      <c r="D57" s="124">
        <v>21.855</v>
      </c>
      <c r="E57" s="199">
        <f t="shared" si="19"/>
        <v>100</v>
      </c>
      <c r="F57" s="199">
        <f t="shared" si="18"/>
        <v>0</v>
      </c>
      <c r="G57" s="188" t="s">
        <v>940</v>
      </c>
      <c r="H57" s="328"/>
    </row>
    <row r="58" spans="1:8" x14ac:dyDescent="0.25">
      <c r="A58" s="486"/>
      <c r="B58" s="209" t="s">
        <v>903</v>
      </c>
      <c r="C58" s="124">
        <v>7</v>
      </c>
      <c r="D58" s="124">
        <v>7</v>
      </c>
      <c r="E58" s="199">
        <f t="shared" si="19"/>
        <v>100</v>
      </c>
      <c r="F58" s="199">
        <f t="shared" si="18"/>
        <v>0</v>
      </c>
      <c r="G58" s="188" t="s">
        <v>940</v>
      </c>
      <c r="H58" s="328"/>
    </row>
    <row r="59" spans="1:8" x14ac:dyDescent="0.25">
      <c r="A59" s="486"/>
      <c r="B59" s="209" t="s">
        <v>904</v>
      </c>
      <c r="C59" s="124">
        <f>C60+C61+C62+C63+C64</f>
        <v>45</v>
      </c>
      <c r="D59" s="124">
        <f>D60+D61+D62+D63+D64</f>
        <v>45</v>
      </c>
      <c r="E59" s="199">
        <f t="shared" si="19"/>
        <v>100</v>
      </c>
      <c r="F59" s="199">
        <f t="shared" si="18"/>
        <v>0</v>
      </c>
      <c r="G59" s="188" t="s">
        <v>940</v>
      </c>
      <c r="H59" s="328"/>
    </row>
    <row r="60" spans="1:8" x14ac:dyDescent="0.25">
      <c r="A60" s="486"/>
      <c r="B60" s="209" t="s">
        <v>905</v>
      </c>
      <c r="C60" s="124">
        <v>10</v>
      </c>
      <c r="D60" s="124">
        <v>10</v>
      </c>
      <c r="E60" s="199">
        <f t="shared" si="19"/>
        <v>100</v>
      </c>
      <c r="F60" s="199">
        <f t="shared" si="18"/>
        <v>0</v>
      </c>
      <c r="G60" s="188" t="s">
        <v>940</v>
      </c>
      <c r="H60" s="328"/>
    </row>
    <row r="61" spans="1:8" x14ac:dyDescent="0.25">
      <c r="A61" s="486"/>
      <c r="B61" s="209" t="s">
        <v>906</v>
      </c>
      <c r="C61" s="124">
        <v>3</v>
      </c>
      <c r="D61" s="124">
        <v>3</v>
      </c>
      <c r="E61" s="199">
        <f t="shared" si="19"/>
        <v>100</v>
      </c>
      <c r="F61" s="199">
        <f t="shared" si="18"/>
        <v>0</v>
      </c>
      <c r="G61" s="188" t="s">
        <v>940</v>
      </c>
      <c r="H61" s="328"/>
    </row>
    <row r="62" spans="1:8" x14ac:dyDescent="0.25">
      <c r="A62" s="486"/>
      <c r="B62" s="209" t="s">
        <v>907</v>
      </c>
      <c r="C62" s="124">
        <v>12.375</v>
      </c>
      <c r="D62" s="124">
        <v>12.375</v>
      </c>
      <c r="E62" s="199">
        <f t="shared" si="19"/>
        <v>100</v>
      </c>
      <c r="F62" s="199">
        <f t="shared" si="18"/>
        <v>0</v>
      </c>
      <c r="G62" s="188" t="s">
        <v>940</v>
      </c>
      <c r="H62" s="328"/>
    </row>
    <row r="63" spans="1:8" ht="31.5" x14ac:dyDescent="0.25">
      <c r="A63" s="486"/>
      <c r="B63" s="209" t="s">
        <v>908</v>
      </c>
      <c r="C63" s="124">
        <v>15</v>
      </c>
      <c r="D63" s="124">
        <v>15</v>
      </c>
      <c r="E63" s="199">
        <f t="shared" si="19"/>
        <v>100</v>
      </c>
      <c r="F63" s="199">
        <f t="shared" si="18"/>
        <v>0</v>
      </c>
      <c r="G63" s="188" t="s">
        <v>940</v>
      </c>
      <c r="H63" s="328"/>
    </row>
    <row r="64" spans="1:8" x14ac:dyDescent="0.25">
      <c r="A64" s="486"/>
      <c r="B64" s="209" t="s">
        <v>909</v>
      </c>
      <c r="C64" s="124">
        <v>4.625</v>
      </c>
      <c r="D64" s="124">
        <v>4.625</v>
      </c>
      <c r="E64" s="199">
        <f t="shared" si="19"/>
        <v>100</v>
      </c>
      <c r="F64" s="199">
        <f t="shared" si="18"/>
        <v>0</v>
      </c>
      <c r="G64" s="188" t="s">
        <v>940</v>
      </c>
      <c r="H64" s="328"/>
    </row>
    <row r="65" spans="1:8" ht="47.25" x14ac:dyDescent="0.25">
      <c r="A65" s="210"/>
      <c r="B65" s="211" t="s">
        <v>910</v>
      </c>
      <c r="C65" s="233">
        <v>0</v>
      </c>
      <c r="D65" s="233">
        <v>0</v>
      </c>
      <c r="E65" s="199">
        <v>0</v>
      </c>
      <c r="F65" s="208">
        <f t="shared" si="18"/>
        <v>0</v>
      </c>
      <c r="G65" s="188" t="s">
        <v>940</v>
      </c>
      <c r="H65" s="328"/>
    </row>
    <row r="66" spans="1:8" x14ac:dyDescent="0.25">
      <c r="A66" s="210"/>
      <c r="B66" s="211" t="s">
        <v>76</v>
      </c>
      <c r="C66" s="233">
        <v>0</v>
      </c>
      <c r="D66" s="233">
        <v>0</v>
      </c>
      <c r="E66" s="199">
        <v>0</v>
      </c>
      <c r="F66" s="208">
        <f t="shared" si="18"/>
        <v>0</v>
      </c>
      <c r="G66" s="188" t="s">
        <v>940</v>
      </c>
      <c r="H66" s="328"/>
    </row>
    <row r="67" spans="1:8" ht="31.5" hidden="1" x14ac:dyDescent="0.25">
      <c r="A67" s="210"/>
      <c r="B67" s="211" t="s">
        <v>77</v>
      </c>
      <c r="C67" s="233">
        <v>0</v>
      </c>
      <c r="D67" s="233">
        <v>0</v>
      </c>
      <c r="E67" s="208">
        <v>0</v>
      </c>
      <c r="F67" s="208">
        <f t="shared" si="18"/>
        <v>0</v>
      </c>
      <c r="G67" s="188" t="s">
        <v>940</v>
      </c>
      <c r="H67" s="328"/>
    </row>
    <row r="68" spans="1:8" x14ac:dyDescent="0.25">
      <c r="A68" s="210"/>
      <c r="B68" s="204" t="s">
        <v>911</v>
      </c>
      <c r="C68" s="205">
        <f>SUM(C70+C73+C74)</f>
        <v>148.82560000000001</v>
      </c>
      <c r="D68" s="205">
        <f>SUM(D70+D73+D74)</f>
        <v>148.82560000000001</v>
      </c>
      <c r="E68" s="201">
        <f>SUM(D68/C68*100)</f>
        <v>100</v>
      </c>
      <c r="F68" s="205">
        <f>SUM(F70+F73+F74)</f>
        <v>0</v>
      </c>
      <c r="G68" s="188" t="s">
        <v>940</v>
      </c>
      <c r="H68" s="328"/>
    </row>
    <row r="69" spans="1:8" ht="31.5" hidden="1" x14ac:dyDescent="0.25">
      <c r="A69" s="203"/>
      <c r="B69" s="709" t="s">
        <v>79</v>
      </c>
      <c r="C69" s="503" t="s">
        <v>872</v>
      </c>
      <c r="D69" s="503" t="s">
        <v>872</v>
      </c>
      <c r="E69" s="199" t="s">
        <v>872</v>
      </c>
      <c r="F69" s="199"/>
      <c r="G69" s="188" t="s">
        <v>940</v>
      </c>
      <c r="H69" s="328"/>
    </row>
    <row r="70" spans="1:8" ht="31.5" x14ac:dyDescent="0.25">
      <c r="A70" s="203"/>
      <c r="B70" s="211" t="s">
        <v>80</v>
      </c>
      <c r="C70" s="233">
        <f>C71+C72</f>
        <v>106.5056</v>
      </c>
      <c r="D70" s="233">
        <f t="shared" ref="D70" si="20">D71+D72</f>
        <v>106.5056</v>
      </c>
      <c r="E70" s="208">
        <f t="shared" ref="E70:E72" si="21">D70*100/C70</f>
        <v>100</v>
      </c>
      <c r="F70" s="208">
        <f>C70-D70</f>
        <v>0</v>
      </c>
      <c r="G70" s="188" t="s">
        <v>940</v>
      </c>
      <c r="H70" s="328"/>
    </row>
    <row r="71" spans="1:8" x14ac:dyDescent="0.25">
      <c r="A71" s="203"/>
      <c r="B71" s="28" t="s">
        <v>912</v>
      </c>
      <c r="C71" s="503">
        <v>2.5</v>
      </c>
      <c r="D71" s="503">
        <v>2.5</v>
      </c>
      <c r="E71" s="199">
        <f t="shared" si="21"/>
        <v>100</v>
      </c>
      <c r="F71" s="199">
        <f t="shared" ref="F71:F75" si="22">C71-D71</f>
        <v>0</v>
      </c>
      <c r="G71" s="188" t="s">
        <v>940</v>
      </c>
      <c r="H71" s="328"/>
    </row>
    <row r="72" spans="1:8" x14ac:dyDescent="0.25">
      <c r="A72" s="203"/>
      <c r="B72" s="28" t="s">
        <v>913</v>
      </c>
      <c r="C72" s="726">
        <v>104.0056</v>
      </c>
      <c r="D72" s="726">
        <v>104.0056</v>
      </c>
      <c r="E72" s="199">
        <f t="shared" si="21"/>
        <v>100</v>
      </c>
      <c r="F72" s="199">
        <f t="shared" si="22"/>
        <v>0</v>
      </c>
      <c r="G72" s="188" t="s">
        <v>940</v>
      </c>
      <c r="H72" s="328"/>
    </row>
    <row r="73" spans="1:8" ht="31.5" x14ac:dyDescent="0.25">
      <c r="A73" s="203"/>
      <c r="B73" s="211" t="s">
        <v>81</v>
      </c>
      <c r="C73" s="233">
        <v>0</v>
      </c>
      <c r="D73" s="233">
        <v>0</v>
      </c>
      <c r="E73" s="208">
        <v>0</v>
      </c>
      <c r="F73" s="208">
        <f t="shared" si="22"/>
        <v>0</v>
      </c>
      <c r="G73" s="188" t="s">
        <v>940</v>
      </c>
      <c r="H73" s="328"/>
    </row>
    <row r="74" spans="1:8" ht="47.25" x14ac:dyDescent="0.25">
      <c r="A74" s="203"/>
      <c r="B74" s="211" t="s">
        <v>82</v>
      </c>
      <c r="C74" s="233">
        <f>C75</f>
        <v>42.32</v>
      </c>
      <c r="D74" s="233">
        <f>D75</f>
        <v>42.32</v>
      </c>
      <c r="E74" s="208">
        <f t="shared" ref="E74:E75" si="23">D74*100/C74</f>
        <v>100</v>
      </c>
      <c r="F74" s="208">
        <f t="shared" si="22"/>
        <v>0</v>
      </c>
      <c r="G74" s="188" t="s">
        <v>940</v>
      </c>
      <c r="H74" s="328"/>
    </row>
    <row r="75" spans="1:8" x14ac:dyDescent="0.25">
      <c r="A75" s="203"/>
      <c r="B75" s="28" t="s">
        <v>914</v>
      </c>
      <c r="C75" s="503">
        <v>42.32</v>
      </c>
      <c r="D75" s="503">
        <v>42.32</v>
      </c>
      <c r="E75" s="199">
        <f t="shared" si="23"/>
        <v>100</v>
      </c>
      <c r="F75" s="199">
        <f t="shared" si="22"/>
        <v>0</v>
      </c>
      <c r="G75" s="188" t="s">
        <v>940</v>
      </c>
      <c r="H75" s="328"/>
    </row>
    <row r="76" spans="1:8" ht="47.25" x14ac:dyDescent="0.25">
      <c r="A76" s="19">
        <v>3</v>
      </c>
      <c r="B76" s="727" t="s">
        <v>915</v>
      </c>
      <c r="C76" s="145">
        <f>SUM(C77+C81+C85+C89)</f>
        <v>477.16273999999999</v>
      </c>
      <c r="D76" s="145">
        <f>SUM(D77+D81+D85+D89)</f>
        <v>477.16273999999999</v>
      </c>
      <c r="E76" s="192">
        <f>SUM(D76/C76*100)</f>
        <v>100</v>
      </c>
      <c r="F76" s="193">
        <f>C76-D76</f>
        <v>0</v>
      </c>
      <c r="G76" s="212"/>
      <c r="H76" s="20" t="s">
        <v>916</v>
      </c>
    </row>
    <row r="77" spans="1:8" ht="31.5" x14ac:dyDescent="0.25">
      <c r="A77" s="210"/>
      <c r="B77" s="204" t="s">
        <v>99</v>
      </c>
      <c r="C77" s="319">
        <f>SUM(C78:C80)</f>
        <v>61.738</v>
      </c>
      <c r="D77" s="205">
        <f>SUM(D78:D80)</f>
        <v>61.738</v>
      </c>
      <c r="E77" s="205">
        <f>D77*100/C77</f>
        <v>100</v>
      </c>
      <c r="F77" s="205">
        <f>SUM(F78:F80)</f>
        <v>0</v>
      </c>
      <c r="G77" s="188" t="s">
        <v>940</v>
      </c>
      <c r="H77" s="328"/>
    </row>
    <row r="78" spans="1:8" x14ac:dyDescent="0.25">
      <c r="A78" s="203"/>
      <c r="B78" s="27" t="s">
        <v>917</v>
      </c>
      <c r="C78" s="503">
        <v>23.488</v>
      </c>
      <c r="D78" s="124">
        <v>23.488</v>
      </c>
      <c r="E78" s="503">
        <f>D78*100/C78</f>
        <v>100.00000000000001</v>
      </c>
      <c r="F78" s="503">
        <f>C78-D78</f>
        <v>0</v>
      </c>
      <c r="G78" s="188" t="s">
        <v>940</v>
      </c>
      <c r="H78" s="328"/>
    </row>
    <row r="79" spans="1:8" x14ac:dyDescent="0.25">
      <c r="A79" s="203"/>
      <c r="B79" s="27" t="s">
        <v>103</v>
      </c>
      <c r="C79" s="503">
        <v>38.25</v>
      </c>
      <c r="D79" s="124">
        <v>38.25</v>
      </c>
      <c r="E79" s="503">
        <f>D79*100/C79</f>
        <v>100</v>
      </c>
      <c r="F79" s="503">
        <f t="shared" ref="F79:F80" si="24">C79-D79</f>
        <v>0</v>
      </c>
      <c r="G79" s="188" t="s">
        <v>940</v>
      </c>
      <c r="H79" s="328"/>
    </row>
    <row r="80" spans="1:8" hidden="1" x14ac:dyDescent="0.25">
      <c r="A80" s="203"/>
      <c r="B80" s="27" t="s">
        <v>104</v>
      </c>
      <c r="C80" s="503">
        <f t="shared" ref="C80" si="25">D80</f>
        <v>0</v>
      </c>
      <c r="D80" s="124">
        <v>0</v>
      </c>
      <c r="E80" s="503">
        <v>0</v>
      </c>
      <c r="F80" s="503">
        <f t="shared" si="24"/>
        <v>0</v>
      </c>
      <c r="G80" s="188" t="s">
        <v>940</v>
      </c>
      <c r="H80" s="328"/>
    </row>
    <row r="81" spans="1:8" x14ac:dyDescent="0.25">
      <c r="A81" s="210"/>
      <c r="B81" s="204" t="s">
        <v>918</v>
      </c>
      <c r="C81" s="213">
        <f>SUM(C82:C84)</f>
        <v>120</v>
      </c>
      <c r="D81" s="213">
        <f>SUM(D82:D84)</f>
        <v>120</v>
      </c>
      <c r="E81" s="205">
        <v>0</v>
      </c>
      <c r="F81" s="213">
        <f>SUM(F82:F84)</f>
        <v>0</v>
      </c>
      <c r="G81" s="188" t="s">
        <v>940</v>
      </c>
      <c r="H81" s="328"/>
    </row>
    <row r="82" spans="1:8" ht="47.25" hidden="1" x14ac:dyDescent="0.25">
      <c r="A82" s="203"/>
      <c r="B82" s="28" t="s">
        <v>919</v>
      </c>
      <c r="C82" s="503">
        <f>D82</f>
        <v>0</v>
      </c>
      <c r="D82" s="124">
        <v>0</v>
      </c>
      <c r="E82" s="503">
        <v>0</v>
      </c>
      <c r="F82" s="503">
        <f>C82-D82</f>
        <v>0</v>
      </c>
      <c r="G82" s="188" t="s">
        <v>940</v>
      </c>
      <c r="H82" s="328"/>
    </row>
    <row r="83" spans="1:8" ht="34.5" customHeight="1" x14ac:dyDescent="0.25">
      <c r="A83" s="203"/>
      <c r="B83" s="28" t="s">
        <v>106</v>
      </c>
      <c r="C83" s="503">
        <v>120</v>
      </c>
      <c r="D83" s="124">
        <v>120</v>
      </c>
      <c r="E83" s="503">
        <f>D83*100/C83</f>
        <v>100</v>
      </c>
      <c r="F83" s="503">
        <f t="shared" ref="F83:F84" si="26">C83-D83</f>
        <v>0</v>
      </c>
      <c r="G83" s="188" t="s">
        <v>940</v>
      </c>
      <c r="H83" s="328"/>
    </row>
    <row r="84" spans="1:8" ht="31.5" hidden="1" x14ac:dyDescent="0.25">
      <c r="A84" s="203"/>
      <c r="B84" s="28" t="s">
        <v>107</v>
      </c>
      <c r="C84" s="503">
        <f>D84</f>
        <v>0</v>
      </c>
      <c r="D84" s="124">
        <v>0</v>
      </c>
      <c r="E84" s="503">
        <v>0</v>
      </c>
      <c r="F84" s="503">
        <f t="shared" si="26"/>
        <v>0</v>
      </c>
      <c r="G84" s="188" t="s">
        <v>940</v>
      </c>
      <c r="H84" s="328"/>
    </row>
    <row r="85" spans="1:8" ht="31.5" x14ac:dyDescent="0.25">
      <c r="A85" s="210"/>
      <c r="B85" s="204" t="s">
        <v>920</v>
      </c>
      <c r="C85" s="319">
        <f>SUM(C86:C88)</f>
        <v>57.1755</v>
      </c>
      <c r="D85" s="205">
        <f>SUM(D86:D88)</f>
        <v>57.1755</v>
      </c>
      <c r="E85" s="205">
        <f>D85*100/C85</f>
        <v>100</v>
      </c>
      <c r="F85" s="205">
        <f>SUM(F86:F88)</f>
        <v>0</v>
      </c>
      <c r="G85" s="188" t="s">
        <v>940</v>
      </c>
      <c r="H85" s="328"/>
    </row>
    <row r="86" spans="1:8" ht="31.5" hidden="1" x14ac:dyDescent="0.25">
      <c r="A86" s="203"/>
      <c r="B86" s="28" t="s">
        <v>109</v>
      </c>
      <c r="C86" s="503">
        <f>D86</f>
        <v>0</v>
      </c>
      <c r="D86" s="503">
        <v>0</v>
      </c>
      <c r="E86" s="503">
        <v>0</v>
      </c>
      <c r="F86" s="503">
        <f>C86-D86</f>
        <v>0</v>
      </c>
      <c r="G86" s="188" t="s">
        <v>940</v>
      </c>
      <c r="H86" s="328"/>
    </row>
    <row r="87" spans="1:8" ht="63" x14ac:dyDescent="0.25">
      <c r="A87" s="203"/>
      <c r="B87" s="28" t="s">
        <v>921</v>
      </c>
      <c r="C87" s="503">
        <v>7.5780000000000003</v>
      </c>
      <c r="D87" s="503">
        <v>7.5780000000000003</v>
      </c>
      <c r="E87" s="199">
        <f t="shared" ref="E87:E88" si="27">D87*100/C87</f>
        <v>100</v>
      </c>
      <c r="F87" s="124">
        <f>C87-D87</f>
        <v>0</v>
      </c>
      <c r="G87" s="188" t="s">
        <v>940</v>
      </c>
      <c r="H87" s="328"/>
    </row>
    <row r="88" spans="1:8" ht="31.5" x14ac:dyDescent="0.25">
      <c r="A88" s="203"/>
      <c r="B88" s="28" t="s">
        <v>922</v>
      </c>
      <c r="C88" s="503">
        <v>49.597499999999997</v>
      </c>
      <c r="D88" s="503">
        <v>49.597499999999997</v>
      </c>
      <c r="E88" s="199">
        <f t="shared" si="27"/>
        <v>100</v>
      </c>
      <c r="F88" s="503">
        <f t="shared" ref="F88:F90" si="28">C88-D88</f>
        <v>0</v>
      </c>
      <c r="G88" s="188" t="s">
        <v>940</v>
      </c>
      <c r="H88" s="328"/>
    </row>
    <row r="89" spans="1:8" ht="31.5" x14ac:dyDescent="0.25">
      <c r="A89" s="210"/>
      <c r="B89" s="204" t="s">
        <v>112</v>
      </c>
      <c r="C89" s="320">
        <f>SUM(C90:C93)</f>
        <v>238.24924000000001</v>
      </c>
      <c r="D89" s="196">
        <f>SUM(D90:D93)</f>
        <v>238.24924000000001</v>
      </c>
      <c r="E89" s="205">
        <f>D89*100/C89</f>
        <v>100</v>
      </c>
      <c r="F89" s="196">
        <f>SUM(F90:F93)</f>
        <v>0</v>
      </c>
      <c r="G89" s="188" t="s">
        <v>940</v>
      </c>
      <c r="H89" s="328"/>
    </row>
    <row r="90" spans="1:8" x14ac:dyDescent="0.25">
      <c r="A90" s="302"/>
      <c r="B90" s="422" t="s">
        <v>136</v>
      </c>
      <c r="C90" s="178">
        <v>207.16274000000001</v>
      </c>
      <c r="D90" s="178">
        <v>207.16274000000001</v>
      </c>
      <c r="E90" s="503">
        <f>D90*100/C90</f>
        <v>100</v>
      </c>
      <c r="F90" s="503">
        <f t="shared" si="28"/>
        <v>0</v>
      </c>
      <c r="G90" s="188" t="s">
        <v>940</v>
      </c>
      <c r="H90" s="328"/>
    </row>
    <row r="91" spans="1:8" ht="47.25" x14ac:dyDescent="0.25">
      <c r="A91" s="203"/>
      <c r="B91" s="28" t="s">
        <v>923</v>
      </c>
      <c r="C91" s="503">
        <v>31.086500000000001</v>
      </c>
      <c r="D91" s="503">
        <v>31.086500000000001</v>
      </c>
      <c r="E91" s="503">
        <f>D91*100/C91</f>
        <v>100</v>
      </c>
      <c r="F91" s="503">
        <f>C91-D91</f>
        <v>0</v>
      </c>
      <c r="G91" s="188" t="s">
        <v>940</v>
      </c>
      <c r="H91" s="328"/>
    </row>
    <row r="92" spans="1:8" ht="78.75" hidden="1" x14ac:dyDescent="0.25">
      <c r="A92" s="203"/>
      <c r="B92" s="28" t="s">
        <v>114</v>
      </c>
      <c r="C92" s="503">
        <f t="shared" ref="C92:C93" si="29">D92</f>
        <v>0</v>
      </c>
      <c r="D92" s="503">
        <v>0</v>
      </c>
      <c r="E92" s="503">
        <v>0</v>
      </c>
      <c r="F92" s="503">
        <f t="shared" ref="F92:F107" si="30">C92-D92</f>
        <v>0</v>
      </c>
      <c r="G92" s="3"/>
      <c r="H92" s="328"/>
    </row>
    <row r="93" spans="1:8" ht="63" hidden="1" x14ac:dyDescent="0.25">
      <c r="A93" s="203"/>
      <c r="B93" s="28" t="s">
        <v>115</v>
      </c>
      <c r="C93" s="503">
        <f t="shared" si="29"/>
        <v>0</v>
      </c>
      <c r="D93" s="503">
        <v>0</v>
      </c>
      <c r="E93" s="503">
        <v>0</v>
      </c>
      <c r="F93" s="503">
        <f t="shared" si="30"/>
        <v>0</v>
      </c>
      <c r="G93" s="3"/>
      <c r="H93" s="328"/>
    </row>
    <row r="94" spans="1:8" ht="47.25" x14ac:dyDescent="0.25">
      <c r="A94" s="112">
        <v>4</v>
      </c>
      <c r="B94" s="214" t="s">
        <v>123</v>
      </c>
      <c r="C94" s="25">
        <f>SUM(C95:C104)</f>
        <v>577</v>
      </c>
      <c r="D94" s="168">
        <f>SUM(D95:D104)</f>
        <v>577</v>
      </c>
      <c r="E94" s="145">
        <f t="shared" ref="E94:E155" si="31">D94*100/C94</f>
        <v>100</v>
      </c>
      <c r="F94" s="193">
        <f t="shared" si="30"/>
        <v>0</v>
      </c>
      <c r="G94" s="23"/>
      <c r="H94" s="338" t="s">
        <v>924</v>
      </c>
    </row>
    <row r="95" spans="1:8" ht="15.75" customHeight="1" x14ac:dyDescent="0.25">
      <c r="A95" s="210"/>
      <c r="B95" s="316" t="s">
        <v>925</v>
      </c>
      <c r="C95" s="402">
        <v>450</v>
      </c>
      <c r="D95" s="35">
        <v>450</v>
      </c>
      <c r="E95" s="199">
        <f t="shared" si="31"/>
        <v>100</v>
      </c>
      <c r="F95" s="199">
        <f t="shared" si="30"/>
        <v>0</v>
      </c>
      <c r="G95" s="188" t="s">
        <v>940</v>
      </c>
      <c r="H95" s="328"/>
    </row>
    <row r="96" spans="1:8" ht="31.5" x14ac:dyDescent="0.25">
      <c r="A96" s="210"/>
      <c r="B96" s="316" t="s">
        <v>926</v>
      </c>
      <c r="C96" s="215">
        <v>20</v>
      </c>
      <c r="D96" s="35">
        <v>20</v>
      </c>
      <c r="E96" s="199">
        <f t="shared" si="31"/>
        <v>100</v>
      </c>
      <c r="F96" s="199">
        <f t="shared" si="30"/>
        <v>0</v>
      </c>
      <c r="G96" s="188" t="s">
        <v>940</v>
      </c>
      <c r="H96" s="328"/>
    </row>
    <row r="97" spans="1:8" ht="47.25" x14ac:dyDescent="0.25">
      <c r="A97" s="210"/>
      <c r="B97" s="316" t="s">
        <v>125</v>
      </c>
      <c r="C97" s="402">
        <v>10.74</v>
      </c>
      <c r="D97" s="35">
        <v>10.74</v>
      </c>
      <c r="E97" s="199">
        <f t="shared" si="31"/>
        <v>100</v>
      </c>
      <c r="F97" s="199">
        <f t="shared" si="30"/>
        <v>0</v>
      </c>
      <c r="G97" s="188" t="s">
        <v>940</v>
      </c>
      <c r="H97" s="328"/>
    </row>
    <row r="98" spans="1:8" ht="18.75" customHeight="1" x14ac:dyDescent="0.25">
      <c r="A98" s="210"/>
      <c r="B98" s="316" t="s">
        <v>1056</v>
      </c>
      <c r="C98" s="216">
        <v>5</v>
      </c>
      <c r="D98" s="35">
        <v>5</v>
      </c>
      <c r="E98" s="199">
        <f t="shared" si="31"/>
        <v>100</v>
      </c>
      <c r="F98" s="199">
        <f t="shared" si="30"/>
        <v>0</v>
      </c>
      <c r="G98" s="188" t="s">
        <v>940</v>
      </c>
      <c r="H98" s="328"/>
    </row>
    <row r="99" spans="1:8" ht="19.5" customHeight="1" x14ac:dyDescent="0.25">
      <c r="A99" s="210"/>
      <c r="B99" s="316" t="s">
        <v>1054</v>
      </c>
      <c r="C99" s="491">
        <v>6</v>
      </c>
      <c r="D99" s="35">
        <v>6</v>
      </c>
      <c r="E99" s="199">
        <f t="shared" si="31"/>
        <v>100</v>
      </c>
      <c r="F99" s="199">
        <f t="shared" si="30"/>
        <v>0</v>
      </c>
      <c r="G99" s="188" t="s">
        <v>940</v>
      </c>
      <c r="H99" s="328"/>
    </row>
    <row r="100" spans="1:8" ht="63" x14ac:dyDescent="0.25">
      <c r="A100" s="210"/>
      <c r="B100" s="316" t="s">
        <v>127</v>
      </c>
      <c r="C100" s="402">
        <v>30</v>
      </c>
      <c r="D100" s="35">
        <v>30</v>
      </c>
      <c r="E100" s="199">
        <f t="shared" si="31"/>
        <v>100</v>
      </c>
      <c r="F100" s="199">
        <f t="shared" si="30"/>
        <v>0</v>
      </c>
      <c r="G100" s="188" t="s">
        <v>940</v>
      </c>
      <c r="H100" s="328"/>
    </row>
    <row r="101" spans="1:8" ht="47.25" x14ac:dyDescent="0.25">
      <c r="A101" s="210"/>
      <c r="B101" s="316" t="s">
        <v>128</v>
      </c>
      <c r="C101" s="402">
        <v>5.26</v>
      </c>
      <c r="D101" s="35">
        <v>5.26</v>
      </c>
      <c r="E101" s="199">
        <f t="shared" si="31"/>
        <v>100</v>
      </c>
      <c r="F101" s="199">
        <f t="shared" si="30"/>
        <v>0</v>
      </c>
      <c r="G101" s="188" t="s">
        <v>940</v>
      </c>
      <c r="H101" s="328"/>
    </row>
    <row r="102" spans="1:8" ht="19.5" customHeight="1" x14ac:dyDescent="0.25">
      <c r="A102" s="210"/>
      <c r="B102" s="316" t="s">
        <v>129</v>
      </c>
      <c r="C102" s="402">
        <v>15</v>
      </c>
      <c r="D102" s="35">
        <v>15</v>
      </c>
      <c r="E102" s="199">
        <f t="shared" si="31"/>
        <v>100</v>
      </c>
      <c r="F102" s="199">
        <f t="shared" si="30"/>
        <v>0</v>
      </c>
      <c r="G102" s="188" t="s">
        <v>940</v>
      </c>
      <c r="H102" s="328"/>
    </row>
    <row r="103" spans="1:8" ht="22.5" customHeight="1" x14ac:dyDescent="0.25">
      <c r="A103" s="210"/>
      <c r="B103" s="316" t="s">
        <v>130</v>
      </c>
      <c r="C103" s="402">
        <v>5</v>
      </c>
      <c r="D103" s="35">
        <v>5</v>
      </c>
      <c r="E103" s="199">
        <f t="shared" si="31"/>
        <v>100</v>
      </c>
      <c r="F103" s="199">
        <f t="shared" si="30"/>
        <v>0</v>
      </c>
      <c r="G103" s="188" t="s">
        <v>940</v>
      </c>
      <c r="H103" s="328"/>
    </row>
    <row r="104" spans="1:8" x14ac:dyDescent="0.25">
      <c r="A104" s="210"/>
      <c r="B104" s="316" t="s">
        <v>131</v>
      </c>
      <c r="C104" s="402">
        <v>30</v>
      </c>
      <c r="D104" s="35">
        <v>30</v>
      </c>
      <c r="E104" s="199">
        <f t="shared" si="31"/>
        <v>100</v>
      </c>
      <c r="F104" s="199">
        <f t="shared" si="30"/>
        <v>0</v>
      </c>
      <c r="G104" s="188" t="s">
        <v>940</v>
      </c>
      <c r="H104" s="328"/>
    </row>
    <row r="105" spans="1:8" ht="31.5" x14ac:dyDescent="0.25">
      <c r="A105" s="210">
        <v>5</v>
      </c>
      <c r="B105" s="24" t="s">
        <v>927</v>
      </c>
      <c r="C105" s="488">
        <f>SUM(C106:C107)</f>
        <v>300</v>
      </c>
      <c r="D105" s="488">
        <f>SUM(D106:D107)</f>
        <v>300</v>
      </c>
      <c r="E105" s="193">
        <f>SUM(D105/C105*100)</f>
        <v>100</v>
      </c>
      <c r="F105" s="193">
        <f t="shared" si="30"/>
        <v>0</v>
      </c>
      <c r="G105" s="218"/>
      <c r="H105" s="338" t="s">
        <v>928</v>
      </c>
    </row>
    <row r="106" spans="1:8" ht="58.5" customHeight="1" x14ac:dyDescent="0.25">
      <c r="A106" s="210"/>
      <c r="B106" s="75" t="s">
        <v>119</v>
      </c>
      <c r="C106" s="219">
        <v>100</v>
      </c>
      <c r="D106" s="219">
        <v>100</v>
      </c>
      <c r="E106" s="503">
        <f t="shared" si="31"/>
        <v>100</v>
      </c>
      <c r="F106" s="199">
        <f t="shared" si="30"/>
        <v>0</v>
      </c>
      <c r="G106" s="38" t="s">
        <v>940</v>
      </c>
      <c r="H106" s="328"/>
    </row>
    <row r="107" spans="1:8" ht="21.75" customHeight="1" x14ac:dyDescent="0.25">
      <c r="A107" s="210"/>
      <c r="B107" s="22" t="s">
        <v>929</v>
      </c>
      <c r="C107" s="219">
        <v>200</v>
      </c>
      <c r="D107" s="219">
        <v>200</v>
      </c>
      <c r="E107" s="503">
        <f t="shared" si="31"/>
        <v>100</v>
      </c>
      <c r="F107" s="199">
        <f t="shared" si="30"/>
        <v>0</v>
      </c>
      <c r="G107" s="487" t="s">
        <v>940</v>
      </c>
      <c r="H107" s="328"/>
    </row>
    <row r="108" spans="1:8" x14ac:dyDescent="0.25">
      <c r="A108" s="220">
        <v>6</v>
      </c>
      <c r="B108" s="221" t="s">
        <v>166</v>
      </c>
      <c r="C108" s="114">
        <f>SUM(C109+C113+C118+C120+C139+C153)</f>
        <v>877.0139999999999</v>
      </c>
      <c r="D108" s="109">
        <f>SUM(D113+D139)+D120+D118+D109+D153</f>
        <v>792.86449999999991</v>
      </c>
      <c r="E108" s="222">
        <f>SUM(D108/C108*100)</f>
        <v>90.404999236044119</v>
      </c>
      <c r="F108" s="223">
        <f>C108-D108</f>
        <v>84.149499999999989</v>
      </c>
      <c r="G108" s="224"/>
      <c r="H108" s="329" t="s">
        <v>930</v>
      </c>
    </row>
    <row r="109" spans="1:8" ht="31.5" x14ac:dyDescent="0.25">
      <c r="A109" s="728"/>
      <c r="B109" s="729" t="s">
        <v>931</v>
      </c>
      <c r="C109" s="225">
        <f>SUM(C110:C112)</f>
        <v>135</v>
      </c>
      <c r="D109" s="225">
        <f>SUM(D110:D112)</f>
        <v>126</v>
      </c>
      <c r="E109" s="205">
        <f t="shared" si="31"/>
        <v>93.333333333333329</v>
      </c>
      <c r="F109" s="226">
        <f t="shared" ref="F109:F176" si="32">C109-D109</f>
        <v>9</v>
      </c>
      <c r="G109" s="487"/>
      <c r="H109" s="730"/>
    </row>
    <row r="110" spans="1:8" x14ac:dyDescent="0.25">
      <c r="A110" s="227"/>
      <c r="B110" s="209" t="s">
        <v>167</v>
      </c>
      <c r="C110" s="504">
        <v>100</v>
      </c>
      <c r="D110" s="489">
        <v>100</v>
      </c>
      <c r="E110" s="503">
        <f t="shared" si="31"/>
        <v>100</v>
      </c>
      <c r="F110" s="505">
        <f t="shared" si="32"/>
        <v>0</v>
      </c>
      <c r="G110" s="487" t="s">
        <v>940</v>
      </c>
      <c r="H110" s="730"/>
    </row>
    <row r="111" spans="1:8" ht="36" customHeight="1" x14ac:dyDescent="0.25">
      <c r="A111" s="227"/>
      <c r="B111" s="229" t="s">
        <v>168</v>
      </c>
      <c r="C111" s="504">
        <v>26</v>
      </c>
      <c r="D111" s="506">
        <v>26</v>
      </c>
      <c r="E111" s="503">
        <f t="shared" si="31"/>
        <v>100</v>
      </c>
      <c r="F111" s="505">
        <f t="shared" si="32"/>
        <v>0</v>
      </c>
      <c r="G111" s="410"/>
      <c r="H111" s="730"/>
    </row>
    <row r="112" spans="1:8" ht="56.25" customHeight="1" x14ac:dyDescent="0.25">
      <c r="A112" s="227"/>
      <c r="B112" s="229" t="s">
        <v>1060</v>
      </c>
      <c r="C112" s="507">
        <v>9</v>
      </c>
      <c r="D112" s="506">
        <v>0</v>
      </c>
      <c r="E112" s="503">
        <f t="shared" ref="E112" si="33">D112*100/C112</f>
        <v>0</v>
      </c>
      <c r="F112" s="505">
        <f t="shared" ref="F112" si="34">C112-D112</f>
        <v>9</v>
      </c>
      <c r="G112" s="486" t="s">
        <v>1121</v>
      </c>
      <c r="H112" s="730"/>
    </row>
    <row r="113" spans="1:8" ht="31.5" x14ac:dyDescent="0.25">
      <c r="A113" s="728"/>
      <c r="B113" s="729" t="s">
        <v>728</v>
      </c>
      <c r="C113" s="225">
        <f>SUM(C114+C116)</f>
        <v>20</v>
      </c>
      <c r="D113" s="230">
        <v>20</v>
      </c>
      <c r="E113" s="205">
        <f t="shared" si="31"/>
        <v>100</v>
      </c>
      <c r="F113" s="231">
        <f t="shared" si="32"/>
        <v>0</v>
      </c>
      <c r="G113" s="487" t="s">
        <v>940</v>
      </c>
      <c r="H113" s="730"/>
    </row>
    <row r="114" spans="1:8" x14ac:dyDescent="0.25">
      <c r="A114" s="238"/>
      <c r="B114" s="729" t="s">
        <v>932</v>
      </c>
      <c r="C114" s="225">
        <f>SUM(C115:C115)</f>
        <v>15</v>
      </c>
      <c r="D114" s="225">
        <f>SUM(D115:D115)</f>
        <v>15</v>
      </c>
      <c r="E114" s="205">
        <f t="shared" si="31"/>
        <v>100</v>
      </c>
      <c r="F114" s="231">
        <f t="shared" si="32"/>
        <v>0</v>
      </c>
      <c r="G114" s="487" t="s">
        <v>940</v>
      </c>
      <c r="H114" s="730"/>
    </row>
    <row r="115" spans="1:8" ht="47.25" x14ac:dyDescent="0.25">
      <c r="A115" s="227"/>
      <c r="B115" s="235" t="s">
        <v>170</v>
      </c>
      <c r="C115" s="504">
        <v>15</v>
      </c>
      <c r="D115" s="136">
        <v>15</v>
      </c>
      <c r="E115" s="503">
        <f t="shared" si="31"/>
        <v>100</v>
      </c>
      <c r="F115" s="143">
        <f t="shared" si="32"/>
        <v>0</v>
      </c>
      <c r="G115" s="487" t="s">
        <v>940</v>
      </c>
      <c r="H115" s="730"/>
    </row>
    <row r="116" spans="1:8" x14ac:dyDescent="0.25">
      <c r="A116" s="227"/>
      <c r="B116" s="729" t="s">
        <v>933</v>
      </c>
      <c r="C116" s="225">
        <v>5</v>
      </c>
      <c r="D116" s="230">
        <v>5</v>
      </c>
      <c r="E116" s="205">
        <f t="shared" si="31"/>
        <v>100</v>
      </c>
      <c r="F116" s="231">
        <f t="shared" si="32"/>
        <v>0</v>
      </c>
      <c r="G116" s="487" t="s">
        <v>940</v>
      </c>
      <c r="H116" s="730"/>
    </row>
    <row r="117" spans="1:8" ht="31.5" x14ac:dyDescent="0.25">
      <c r="A117" s="238"/>
      <c r="B117" s="29" t="s">
        <v>171</v>
      </c>
      <c r="C117" s="504">
        <v>5</v>
      </c>
      <c r="D117" s="136">
        <v>5</v>
      </c>
      <c r="E117" s="503">
        <f t="shared" si="31"/>
        <v>100</v>
      </c>
      <c r="F117" s="143">
        <f t="shared" si="32"/>
        <v>0</v>
      </c>
      <c r="G117" s="487" t="s">
        <v>940</v>
      </c>
      <c r="H117" s="730"/>
    </row>
    <row r="118" spans="1:8" x14ac:dyDescent="0.25">
      <c r="A118" s="227"/>
      <c r="B118" s="729" t="s">
        <v>729</v>
      </c>
      <c r="C118" s="225">
        <f>SUM(C119:C119)</f>
        <v>75</v>
      </c>
      <c r="D118" s="225">
        <f>SUM(D119:D119)</f>
        <v>25</v>
      </c>
      <c r="E118" s="205">
        <f t="shared" si="31"/>
        <v>33.333333333333336</v>
      </c>
      <c r="F118" s="231">
        <f t="shared" si="32"/>
        <v>50</v>
      </c>
      <c r="G118" s="487"/>
      <c r="H118" s="730"/>
    </row>
    <row r="119" spans="1:8" ht="31.5" x14ac:dyDescent="0.25">
      <c r="A119" s="728"/>
      <c r="B119" s="229" t="s">
        <v>172</v>
      </c>
      <c r="C119" s="504">
        <v>75</v>
      </c>
      <c r="D119" s="136">
        <v>25</v>
      </c>
      <c r="E119" s="199">
        <f>D119*100/C119</f>
        <v>33.333333333333336</v>
      </c>
      <c r="F119" s="143">
        <v>50</v>
      </c>
      <c r="G119" s="487" t="s">
        <v>1122</v>
      </c>
      <c r="H119" s="730"/>
    </row>
    <row r="120" spans="1:8" x14ac:dyDescent="0.25">
      <c r="A120" s="227"/>
      <c r="B120" s="729" t="s">
        <v>934</v>
      </c>
      <c r="C120" s="225">
        <f>SUM(C121,C124,C129,C138)</f>
        <v>249.964</v>
      </c>
      <c r="D120" s="225">
        <f>SUM(D121,D124,D129,D138)</f>
        <v>224.95949999999999</v>
      </c>
      <c r="E120" s="205">
        <f t="shared" si="31"/>
        <v>89.99675953337281</v>
      </c>
      <c r="F120" s="231">
        <f>C120-D120</f>
        <v>25.004500000000007</v>
      </c>
      <c r="G120" s="487"/>
      <c r="H120" s="730"/>
    </row>
    <row r="121" spans="1:8" x14ac:dyDescent="0.25">
      <c r="A121" s="227"/>
      <c r="B121" s="731" t="s">
        <v>730</v>
      </c>
      <c r="C121" s="232">
        <f>SUM(C122:C123)</f>
        <v>20</v>
      </c>
      <c r="D121" s="232">
        <f>SUM(D122:D123)</f>
        <v>20</v>
      </c>
      <c r="E121" s="233">
        <f t="shared" si="31"/>
        <v>100</v>
      </c>
      <c r="F121" s="234">
        <f t="shared" si="32"/>
        <v>0</v>
      </c>
      <c r="G121" s="487" t="s">
        <v>940</v>
      </c>
      <c r="H121" s="730"/>
    </row>
    <row r="122" spans="1:8" ht="31.5" x14ac:dyDescent="0.25">
      <c r="A122" s="728"/>
      <c r="B122" s="209" t="s">
        <v>173</v>
      </c>
      <c r="C122" s="504">
        <v>8</v>
      </c>
      <c r="D122" s="136">
        <v>8</v>
      </c>
      <c r="E122" s="503">
        <f t="shared" si="31"/>
        <v>100</v>
      </c>
      <c r="F122" s="143">
        <f t="shared" si="32"/>
        <v>0</v>
      </c>
      <c r="G122" s="487" t="s">
        <v>940</v>
      </c>
      <c r="H122" s="730"/>
    </row>
    <row r="123" spans="1:8" ht="31.5" x14ac:dyDescent="0.25">
      <c r="A123" s="238"/>
      <c r="B123" s="209" t="s">
        <v>174</v>
      </c>
      <c r="C123" s="504">
        <v>12</v>
      </c>
      <c r="D123" s="136">
        <v>12</v>
      </c>
      <c r="E123" s="503">
        <f t="shared" si="31"/>
        <v>100</v>
      </c>
      <c r="F123" s="143">
        <f t="shared" si="32"/>
        <v>0</v>
      </c>
      <c r="G123" s="487" t="s">
        <v>940</v>
      </c>
      <c r="H123" s="730"/>
    </row>
    <row r="124" spans="1:8" ht="31.5" x14ac:dyDescent="0.25">
      <c r="A124" s="227"/>
      <c r="B124" s="729" t="s">
        <v>731</v>
      </c>
      <c r="C124" s="225">
        <f>SUM(C125:C128)</f>
        <v>155.78</v>
      </c>
      <c r="D124" s="225">
        <f>SUM(D125:D128)</f>
        <v>130.78</v>
      </c>
      <c r="E124" s="205">
        <f t="shared" si="31"/>
        <v>83.951726794196944</v>
      </c>
      <c r="F124" s="231">
        <f>C124-D124</f>
        <v>25</v>
      </c>
      <c r="G124" s="487"/>
      <c r="H124" s="730"/>
    </row>
    <row r="125" spans="1:8" ht="39.75" customHeight="1" x14ac:dyDescent="0.25">
      <c r="A125" s="227"/>
      <c r="B125" s="29" t="s">
        <v>175</v>
      </c>
      <c r="C125" s="504">
        <v>60</v>
      </c>
      <c r="D125" s="496">
        <v>60</v>
      </c>
      <c r="E125" s="503">
        <f t="shared" si="31"/>
        <v>100</v>
      </c>
      <c r="F125" s="143">
        <f t="shared" si="32"/>
        <v>0</v>
      </c>
      <c r="G125" s="487" t="s">
        <v>940</v>
      </c>
      <c r="H125" s="730"/>
    </row>
    <row r="126" spans="1:8" ht="31.5" x14ac:dyDescent="0.25">
      <c r="A126" s="238"/>
      <c r="B126" s="29" t="s">
        <v>176</v>
      </c>
      <c r="C126" s="504">
        <v>25</v>
      </c>
      <c r="D126" s="498">
        <v>0</v>
      </c>
      <c r="E126" s="503">
        <f t="shared" si="31"/>
        <v>0</v>
      </c>
      <c r="F126" s="143">
        <f t="shared" si="32"/>
        <v>25</v>
      </c>
      <c r="G126" s="487" t="s">
        <v>940</v>
      </c>
      <c r="H126" s="730"/>
    </row>
    <row r="127" spans="1:8" ht="31.5" x14ac:dyDescent="0.25">
      <c r="A127" s="227"/>
      <c r="B127" s="29" t="s">
        <v>177</v>
      </c>
      <c r="C127" s="504">
        <v>25</v>
      </c>
      <c r="D127" s="496">
        <v>25</v>
      </c>
      <c r="E127" s="503">
        <f t="shared" si="31"/>
        <v>100</v>
      </c>
      <c r="F127" s="143">
        <f t="shared" si="32"/>
        <v>0</v>
      </c>
      <c r="G127" s="487" t="s">
        <v>1123</v>
      </c>
      <c r="H127" s="730"/>
    </row>
    <row r="128" spans="1:8" x14ac:dyDescent="0.25">
      <c r="A128" s="227"/>
      <c r="B128" s="29" t="s">
        <v>178</v>
      </c>
      <c r="C128" s="504">
        <v>45.78</v>
      </c>
      <c r="D128" s="136">
        <v>45.78</v>
      </c>
      <c r="E128" s="503">
        <f t="shared" si="31"/>
        <v>100</v>
      </c>
      <c r="F128" s="143">
        <f t="shared" si="32"/>
        <v>0</v>
      </c>
      <c r="G128" s="487" t="s">
        <v>940</v>
      </c>
      <c r="H128" s="730"/>
    </row>
    <row r="129" spans="1:8" x14ac:dyDescent="0.25">
      <c r="A129" s="227"/>
      <c r="B129" s="729" t="s">
        <v>732</v>
      </c>
      <c r="C129" s="225">
        <f>SUM(C130:C136)</f>
        <v>74.183999999999997</v>
      </c>
      <c r="D129" s="225">
        <f>SUM(D130:D136)</f>
        <v>74.17949999999999</v>
      </c>
      <c r="E129" s="205">
        <f t="shared" si="31"/>
        <v>99.993934001941113</v>
      </c>
      <c r="F129" s="234">
        <f t="shared" si="32"/>
        <v>4.500000000007276E-3</v>
      </c>
      <c r="G129" s="487"/>
      <c r="H129" s="730"/>
    </row>
    <row r="130" spans="1:8" ht="23.25" customHeight="1" x14ac:dyDescent="0.25">
      <c r="A130" s="227"/>
      <c r="B130" s="209" t="s">
        <v>179</v>
      </c>
      <c r="C130" s="504">
        <v>32.86</v>
      </c>
      <c r="D130" s="136">
        <v>32.86</v>
      </c>
      <c r="E130" s="503">
        <f t="shared" si="31"/>
        <v>100</v>
      </c>
      <c r="F130" s="143">
        <f t="shared" si="32"/>
        <v>0</v>
      </c>
      <c r="G130" s="487" t="s">
        <v>940</v>
      </c>
      <c r="H130" s="730"/>
    </row>
    <row r="131" spans="1:8" ht="21.75" customHeight="1" x14ac:dyDescent="0.25">
      <c r="A131" s="238"/>
      <c r="B131" s="209" t="s">
        <v>181</v>
      </c>
      <c r="C131" s="504">
        <v>5.48</v>
      </c>
      <c r="D131" s="136">
        <v>5.48</v>
      </c>
      <c r="E131" s="503">
        <f t="shared" si="31"/>
        <v>99.999999999999986</v>
      </c>
      <c r="F131" s="143">
        <f t="shared" si="32"/>
        <v>0</v>
      </c>
      <c r="G131" s="487" t="s">
        <v>940</v>
      </c>
      <c r="H131" s="730"/>
    </row>
    <row r="132" spans="1:8" ht="19.5" customHeight="1" x14ac:dyDescent="0.25">
      <c r="A132" s="227"/>
      <c r="B132" s="209" t="s">
        <v>185</v>
      </c>
      <c r="C132" s="504">
        <v>10</v>
      </c>
      <c r="D132" s="504">
        <v>10</v>
      </c>
      <c r="E132" s="503">
        <f t="shared" si="31"/>
        <v>100</v>
      </c>
      <c r="F132" s="143">
        <f t="shared" si="32"/>
        <v>0</v>
      </c>
      <c r="G132" s="487" t="s">
        <v>940</v>
      </c>
      <c r="H132" s="730"/>
    </row>
    <row r="133" spans="1:8" ht="24" customHeight="1" x14ac:dyDescent="0.25">
      <c r="A133" s="227"/>
      <c r="B133" s="209" t="s">
        <v>935</v>
      </c>
      <c r="C133" s="504">
        <v>13.18</v>
      </c>
      <c r="D133" s="485">
        <v>13.1755</v>
      </c>
      <c r="E133" s="503">
        <f>D133*100/C133</f>
        <v>99.965857359635805</v>
      </c>
      <c r="F133" s="143">
        <f t="shared" si="32"/>
        <v>4.5000000000001705E-3</v>
      </c>
      <c r="G133" s="487"/>
      <c r="H133" s="730"/>
    </row>
    <row r="134" spans="1:8" ht="31.5" x14ac:dyDescent="0.25">
      <c r="A134" s="227"/>
      <c r="B134" s="28" t="s">
        <v>182</v>
      </c>
      <c r="C134" s="504">
        <v>7.8945999999999996</v>
      </c>
      <c r="D134" s="237">
        <v>7.8945999999999996</v>
      </c>
      <c r="E134" s="503">
        <f t="shared" si="31"/>
        <v>100</v>
      </c>
      <c r="F134" s="143"/>
      <c r="G134" s="487" t="s">
        <v>940</v>
      </c>
      <c r="H134" s="730"/>
    </row>
    <row r="135" spans="1:8" x14ac:dyDescent="0.25">
      <c r="A135" s="227"/>
      <c r="B135" s="28" t="s">
        <v>183</v>
      </c>
      <c r="C135" s="504">
        <v>3.3834</v>
      </c>
      <c r="D135" s="237">
        <v>3.3834</v>
      </c>
      <c r="E135" s="503">
        <f t="shared" si="31"/>
        <v>100</v>
      </c>
      <c r="F135" s="143"/>
      <c r="G135" s="487" t="s">
        <v>940</v>
      </c>
      <c r="H135" s="730"/>
    </row>
    <row r="136" spans="1:8" x14ac:dyDescent="0.25">
      <c r="A136" s="227"/>
      <c r="B136" s="28" t="s">
        <v>184</v>
      </c>
      <c r="C136" s="504">
        <v>1.3859999999999999</v>
      </c>
      <c r="D136" s="237">
        <v>1.3859999999999999</v>
      </c>
      <c r="E136" s="503">
        <f t="shared" si="31"/>
        <v>100</v>
      </c>
      <c r="F136" s="143"/>
      <c r="G136" s="487" t="s">
        <v>940</v>
      </c>
      <c r="H136" s="730"/>
    </row>
    <row r="137" spans="1:8" hidden="1" x14ac:dyDescent="0.25">
      <c r="A137" s="227"/>
      <c r="B137" s="731" t="s">
        <v>733</v>
      </c>
      <c r="C137" s="232">
        <v>0</v>
      </c>
      <c r="D137" s="236"/>
      <c r="E137" s="233"/>
      <c r="F137" s="234">
        <f t="shared" si="32"/>
        <v>0</v>
      </c>
      <c r="G137" s="487" t="s">
        <v>940</v>
      </c>
      <c r="H137" s="730"/>
    </row>
    <row r="138" spans="1:8" hidden="1" x14ac:dyDescent="0.25">
      <c r="A138" s="227"/>
      <c r="B138" s="731" t="s">
        <v>936</v>
      </c>
      <c r="C138" s="232"/>
      <c r="D138" s="236"/>
      <c r="E138" s="233"/>
      <c r="F138" s="234">
        <f t="shared" si="32"/>
        <v>0</v>
      </c>
      <c r="G138" s="487" t="s">
        <v>940</v>
      </c>
      <c r="H138" s="730"/>
    </row>
    <row r="139" spans="1:8" ht="21" customHeight="1" x14ac:dyDescent="0.25">
      <c r="A139" s="227"/>
      <c r="B139" s="729" t="s">
        <v>734</v>
      </c>
      <c r="C139" s="225">
        <f>SUM(C140:C152)</f>
        <v>374.49</v>
      </c>
      <c r="D139" s="230">
        <f>SUM(D140:D152)</f>
        <v>374.34500000000003</v>
      </c>
      <c r="E139" s="205">
        <f t="shared" si="31"/>
        <v>99.961280675051398</v>
      </c>
      <c r="F139" s="231">
        <f t="shared" si="32"/>
        <v>0.14499999999998181</v>
      </c>
      <c r="G139" s="487"/>
      <c r="H139" s="730"/>
    </row>
    <row r="140" spans="1:8" ht="47.25" x14ac:dyDescent="0.25">
      <c r="A140" s="238"/>
      <c r="B140" s="209" t="s">
        <v>186</v>
      </c>
      <c r="C140" s="504">
        <v>50</v>
      </c>
      <c r="D140" s="136">
        <v>50</v>
      </c>
      <c r="E140" s="503">
        <f t="shared" si="31"/>
        <v>100</v>
      </c>
      <c r="F140" s="143">
        <f t="shared" si="32"/>
        <v>0</v>
      </c>
      <c r="G140" s="487" t="s">
        <v>940</v>
      </c>
      <c r="H140" s="730"/>
    </row>
    <row r="141" spans="1:8" ht="31.5" x14ac:dyDescent="0.25">
      <c r="A141" s="238"/>
      <c r="B141" s="209" t="s">
        <v>187</v>
      </c>
      <c r="C141" s="504">
        <v>32.729999999999997</v>
      </c>
      <c r="D141" s="136">
        <v>32.725000000000001</v>
      </c>
      <c r="E141" s="503">
        <f t="shared" si="31"/>
        <v>99.984723495264291</v>
      </c>
      <c r="F141" s="143">
        <f t="shared" si="32"/>
        <v>4.9999999999954525E-3</v>
      </c>
      <c r="G141" s="487" t="s">
        <v>940</v>
      </c>
      <c r="H141" s="730"/>
    </row>
    <row r="142" spans="1:8" x14ac:dyDescent="0.25">
      <c r="A142" s="238"/>
      <c r="B142" s="209" t="s">
        <v>188</v>
      </c>
      <c r="C142" s="504">
        <v>10</v>
      </c>
      <c r="D142" s="136">
        <v>10</v>
      </c>
      <c r="E142" s="503">
        <f t="shared" si="31"/>
        <v>100</v>
      </c>
      <c r="F142" s="143">
        <f t="shared" si="32"/>
        <v>0</v>
      </c>
      <c r="G142" s="487" t="s">
        <v>940</v>
      </c>
      <c r="H142" s="730"/>
    </row>
    <row r="143" spans="1:8" x14ac:dyDescent="0.25">
      <c r="A143" s="227"/>
      <c r="B143" s="209" t="s">
        <v>189</v>
      </c>
      <c r="C143" s="504">
        <v>10</v>
      </c>
      <c r="D143" s="136">
        <v>10</v>
      </c>
      <c r="E143" s="503">
        <f t="shared" si="31"/>
        <v>100</v>
      </c>
      <c r="F143" s="143">
        <f t="shared" si="32"/>
        <v>0</v>
      </c>
      <c r="G143" s="487" t="s">
        <v>940</v>
      </c>
      <c r="H143" s="730"/>
    </row>
    <row r="144" spans="1:8" x14ac:dyDescent="0.25">
      <c r="A144" s="728"/>
      <c r="B144" s="209" t="s">
        <v>937</v>
      </c>
      <c r="C144" s="504">
        <v>20</v>
      </c>
      <c r="D144" s="136">
        <v>20</v>
      </c>
      <c r="E144" s="503">
        <f t="shared" si="31"/>
        <v>100</v>
      </c>
      <c r="F144" s="143">
        <f t="shared" si="32"/>
        <v>0</v>
      </c>
      <c r="G144" s="487" t="s">
        <v>940</v>
      </c>
      <c r="H144" s="730"/>
    </row>
    <row r="145" spans="1:8" ht="38.25" customHeight="1" x14ac:dyDescent="0.25">
      <c r="A145" s="227"/>
      <c r="B145" s="209" t="s">
        <v>191</v>
      </c>
      <c r="C145" s="504">
        <v>21.19</v>
      </c>
      <c r="D145" s="136">
        <v>21.19</v>
      </c>
      <c r="E145" s="503">
        <f t="shared" si="31"/>
        <v>100</v>
      </c>
      <c r="F145" s="143">
        <f t="shared" si="32"/>
        <v>0</v>
      </c>
      <c r="G145" s="487" t="s">
        <v>940</v>
      </c>
      <c r="H145" s="730"/>
    </row>
    <row r="146" spans="1:8" ht="47.25" x14ac:dyDescent="0.25">
      <c r="A146" s="227"/>
      <c r="B146" s="209" t="s">
        <v>192</v>
      </c>
      <c r="C146" s="136">
        <v>50</v>
      </c>
      <c r="D146" s="136">
        <v>50</v>
      </c>
      <c r="E146" s="503">
        <f t="shared" si="31"/>
        <v>100</v>
      </c>
      <c r="F146" s="143">
        <f t="shared" si="32"/>
        <v>0</v>
      </c>
      <c r="G146" s="487" t="s">
        <v>940</v>
      </c>
      <c r="H146" s="730"/>
    </row>
    <row r="147" spans="1:8" ht="31.5" x14ac:dyDescent="0.25">
      <c r="A147" s="227"/>
      <c r="B147" s="29" t="s">
        <v>193</v>
      </c>
      <c r="C147" s="504">
        <v>15</v>
      </c>
      <c r="D147" s="494">
        <v>14.86</v>
      </c>
      <c r="E147" s="503">
        <f t="shared" si="31"/>
        <v>99.066666666666663</v>
      </c>
      <c r="F147" s="143">
        <f>C147-D147</f>
        <v>0.14000000000000057</v>
      </c>
      <c r="G147" s="487" t="s">
        <v>1124</v>
      </c>
      <c r="H147" s="730"/>
    </row>
    <row r="148" spans="1:8" ht="36" customHeight="1" x14ac:dyDescent="0.25">
      <c r="A148" s="227"/>
      <c r="B148" s="29" t="s">
        <v>938</v>
      </c>
      <c r="C148" s="504">
        <v>19.79</v>
      </c>
      <c r="D148" s="494">
        <v>19.79</v>
      </c>
      <c r="E148" s="503">
        <f t="shared" si="31"/>
        <v>100</v>
      </c>
      <c r="F148" s="143">
        <f t="shared" si="32"/>
        <v>0</v>
      </c>
      <c r="G148" s="487" t="s">
        <v>940</v>
      </c>
      <c r="H148" s="730"/>
    </row>
    <row r="149" spans="1:8" ht="18" customHeight="1" x14ac:dyDescent="0.25">
      <c r="A149" s="227"/>
      <c r="B149" s="29" t="s">
        <v>1061</v>
      </c>
      <c r="C149" s="504">
        <v>33.81</v>
      </c>
      <c r="D149" s="136">
        <v>33.81</v>
      </c>
      <c r="E149" s="503">
        <f t="shared" ref="E149:E150" si="35">D149*100/C149</f>
        <v>100</v>
      </c>
      <c r="F149" s="143">
        <f t="shared" ref="F149:F150" si="36">C149-D149</f>
        <v>0</v>
      </c>
      <c r="G149" s="487" t="s">
        <v>940</v>
      </c>
      <c r="H149" s="730"/>
    </row>
    <row r="150" spans="1:8" ht="18" customHeight="1" x14ac:dyDescent="0.25">
      <c r="A150" s="227"/>
      <c r="B150" s="29" t="s">
        <v>1062</v>
      </c>
      <c r="C150" s="504">
        <v>5</v>
      </c>
      <c r="D150" s="136">
        <v>5</v>
      </c>
      <c r="E150" s="503">
        <f t="shared" si="35"/>
        <v>100</v>
      </c>
      <c r="F150" s="143">
        <f t="shared" si="36"/>
        <v>0</v>
      </c>
      <c r="G150" s="487" t="s">
        <v>940</v>
      </c>
      <c r="H150" s="730"/>
    </row>
    <row r="151" spans="1:8" x14ac:dyDescent="0.25">
      <c r="A151" s="227"/>
      <c r="B151" s="29" t="s">
        <v>195</v>
      </c>
      <c r="C151" s="504">
        <v>6.97</v>
      </c>
      <c r="D151" s="136">
        <v>6.97</v>
      </c>
      <c r="E151" s="503">
        <f t="shared" si="31"/>
        <v>100</v>
      </c>
      <c r="F151" s="143">
        <f t="shared" si="32"/>
        <v>0</v>
      </c>
      <c r="G151" s="487" t="s">
        <v>940</v>
      </c>
      <c r="H151" s="730"/>
    </row>
    <row r="152" spans="1:8" ht="47.25" x14ac:dyDescent="0.25">
      <c r="A152" s="227"/>
      <c r="B152" s="29" t="s">
        <v>196</v>
      </c>
      <c r="C152" s="504">
        <v>100</v>
      </c>
      <c r="D152" s="136">
        <v>100</v>
      </c>
      <c r="E152" s="503">
        <f>D152*100/C152</f>
        <v>100</v>
      </c>
      <c r="F152" s="143">
        <f t="shared" si="32"/>
        <v>0</v>
      </c>
      <c r="G152" s="487" t="s">
        <v>940</v>
      </c>
      <c r="H152" s="730"/>
    </row>
    <row r="153" spans="1:8" x14ac:dyDescent="0.25">
      <c r="A153" s="227"/>
      <c r="B153" s="729" t="s">
        <v>735</v>
      </c>
      <c r="C153" s="225">
        <f>SUM(C154:C155)</f>
        <v>22.560000000000002</v>
      </c>
      <c r="D153" s="225">
        <f>SUM(D154:D155)</f>
        <v>22.560000000000002</v>
      </c>
      <c r="E153" s="205">
        <f t="shared" si="31"/>
        <v>99.999999999999986</v>
      </c>
      <c r="F153" s="231">
        <f t="shared" si="32"/>
        <v>0</v>
      </c>
      <c r="G153" s="487" t="s">
        <v>940</v>
      </c>
      <c r="H153" s="730"/>
    </row>
    <row r="154" spans="1:8" x14ac:dyDescent="0.25">
      <c r="A154" s="227"/>
      <c r="B154" s="209" t="s">
        <v>198</v>
      </c>
      <c r="C154" s="504">
        <v>12.56</v>
      </c>
      <c r="D154" s="136">
        <v>12.56</v>
      </c>
      <c r="E154" s="503">
        <f t="shared" si="31"/>
        <v>100</v>
      </c>
      <c r="F154" s="143">
        <f t="shared" si="32"/>
        <v>0</v>
      </c>
      <c r="G154" s="487" t="s">
        <v>940</v>
      </c>
      <c r="H154" s="730"/>
    </row>
    <row r="155" spans="1:8" ht="31.5" x14ac:dyDescent="0.25">
      <c r="A155" s="227"/>
      <c r="B155" s="209" t="s">
        <v>197</v>
      </c>
      <c r="C155" s="504">
        <v>10</v>
      </c>
      <c r="D155" s="136">
        <v>10</v>
      </c>
      <c r="E155" s="503">
        <f t="shared" si="31"/>
        <v>100</v>
      </c>
      <c r="F155" s="143">
        <f t="shared" si="32"/>
        <v>0</v>
      </c>
      <c r="G155" s="487" t="s">
        <v>940</v>
      </c>
      <c r="H155" s="730"/>
    </row>
    <row r="156" spans="1:8" ht="31.5" x14ac:dyDescent="0.25">
      <c r="A156" s="112">
        <v>7</v>
      </c>
      <c r="B156" s="146" t="s">
        <v>146</v>
      </c>
      <c r="C156" s="11">
        <f>SUM(C160+C164+C166+C171)+C157</f>
        <v>11081.465310000001</v>
      </c>
      <c r="D156" s="11">
        <f>SUM(D160+D164+D166+D171)+D157</f>
        <v>11069.02499</v>
      </c>
      <c r="E156" s="222">
        <f t="shared" ref="E156:E172" si="37">SUM(D156/C156*100)</f>
        <v>99.887737590183363</v>
      </c>
      <c r="F156" s="223">
        <f t="shared" si="32"/>
        <v>12.44032000000152</v>
      </c>
      <c r="G156" s="239"/>
      <c r="H156" s="327" t="s">
        <v>939</v>
      </c>
    </row>
    <row r="157" spans="1:8" x14ac:dyDescent="0.25">
      <c r="A157" s="210"/>
      <c r="B157" s="12" t="s">
        <v>147</v>
      </c>
      <c r="C157" s="202">
        <f>SUM(C158:C159)</f>
        <v>4327.6100000000006</v>
      </c>
      <c r="D157" s="202">
        <f>SUM(D158:D159)</f>
        <v>4316.3174900000004</v>
      </c>
      <c r="E157" s="240">
        <f t="shared" si="37"/>
        <v>99.739058972504452</v>
      </c>
      <c r="F157" s="226">
        <f t="shared" si="32"/>
        <v>11.29251000000022</v>
      </c>
      <c r="G157" s="487" t="s">
        <v>940</v>
      </c>
      <c r="H157" s="330"/>
    </row>
    <row r="158" spans="1:8" ht="63" x14ac:dyDescent="0.25">
      <c r="A158" s="210"/>
      <c r="B158" s="16" t="s">
        <v>148</v>
      </c>
      <c r="C158" s="402">
        <f>1654.226+498.432</f>
        <v>2152.6580000000004</v>
      </c>
      <c r="D158" s="402">
        <f>1654.221+498.43</f>
        <v>2152.6509999999998</v>
      </c>
      <c r="E158" s="199">
        <f>D158*100/C158</f>
        <v>99.999674820617088</v>
      </c>
      <c r="F158" s="505">
        <f t="shared" si="32"/>
        <v>7.000000000516593E-3</v>
      </c>
      <c r="G158" s="38"/>
      <c r="H158" s="330"/>
    </row>
    <row r="159" spans="1:8" ht="78.75" x14ac:dyDescent="0.25">
      <c r="A159" s="210"/>
      <c r="B159" s="5" t="s">
        <v>1052</v>
      </c>
      <c r="C159" s="402">
        <f>1772.21+110.846+6.65+14.265+13.426+115.555+131.948+7.752+2.3</f>
        <v>2174.9520000000002</v>
      </c>
      <c r="D159" s="15">
        <f>1772.189+6.65+14+2.426+115.555+131.948+7.752+2.3+110.84649</f>
        <v>2163.6664900000005</v>
      </c>
      <c r="E159" s="199">
        <f>D159*100/C159</f>
        <v>99.48111452574588</v>
      </c>
      <c r="F159" s="505">
        <f t="shared" ref="F159" si="38">C159-D159</f>
        <v>11.285509999999704</v>
      </c>
      <c r="G159" s="38" t="s">
        <v>1081</v>
      </c>
      <c r="H159" s="330"/>
    </row>
    <row r="160" spans="1:8" x14ac:dyDescent="0.25">
      <c r="A160" s="210"/>
      <c r="B160" s="179" t="s">
        <v>149</v>
      </c>
      <c r="C160" s="202">
        <f>SUM(C161:C163)</f>
        <v>3073.1443100000001</v>
      </c>
      <c r="D160" s="202">
        <f>SUM(D161:D163)</f>
        <v>3073.0230000000001</v>
      </c>
      <c r="E160" s="240">
        <f t="shared" si="37"/>
        <v>99.996052577172989</v>
      </c>
      <c r="F160" s="226">
        <f t="shared" si="32"/>
        <v>0.12130999999999403</v>
      </c>
      <c r="G160" s="188" t="s">
        <v>940</v>
      </c>
      <c r="H160" s="330"/>
    </row>
    <row r="161" spans="1:8" ht="47.25" x14ac:dyDescent="0.25">
      <c r="A161" s="210"/>
      <c r="B161" s="13" t="s">
        <v>150</v>
      </c>
      <c r="C161" s="402">
        <f>137.662+53+596.846+121.28+347.563</f>
        <v>1256.3510000000001</v>
      </c>
      <c r="D161" s="402">
        <f>137.6+53+596.79+121.28+347.563</f>
        <v>1256.2329999999999</v>
      </c>
      <c r="E161" s="199">
        <f t="shared" ref="E161:E163" si="39">D161*100/C161</f>
        <v>99.990607720294705</v>
      </c>
      <c r="F161" s="505">
        <f t="shared" si="32"/>
        <v>0.11800000000016553</v>
      </c>
      <c r="G161" s="188" t="s">
        <v>940</v>
      </c>
      <c r="H161" s="330"/>
    </row>
    <row r="162" spans="1:8" ht="47.25" x14ac:dyDescent="0.25">
      <c r="A162" s="210"/>
      <c r="B162" s="14" t="s">
        <v>151</v>
      </c>
      <c r="C162" s="402">
        <v>1141.04331</v>
      </c>
      <c r="D162" s="15">
        <v>1141.04</v>
      </c>
      <c r="E162" s="199">
        <f t="shared" ref="E162" si="40">D162*100/C162</f>
        <v>99.999709914604381</v>
      </c>
      <c r="F162" s="505">
        <f t="shared" ref="F162" si="41">C162-D162</f>
        <v>3.3100000000558794E-3</v>
      </c>
      <c r="G162" s="188" t="s">
        <v>940</v>
      </c>
      <c r="H162" s="330"/>
    </row>
    <row r="163" spans="1:8" ht="31.5" x14ac:dyDescent="0.25">
      <c r="A163" s="210"/>
      <c r="B163" s="16" t="s">
        <v>152</v>
      </c>
      <c r="C163" s="441">
        <v>675.75</v>
      </c>
      <c r="D163" s="441">
        <v>675.75</v>
      </c>
      <c r="E163" s="199">
        <f t="shared" si="39"/>
        <v>100</v>
      </c>
      <c r="F163" s="505">
        <f t="shared" si="32"/>
        <v>0</v>
      </c>
      <c r="G163" s="188" t="s">
        <v>940</v>
      </c>
      <c r="H163" s="330"/>
    </row>
    <row r="164" spans="1:8" x14ac:dyDescent="0.25">
      <c r="A164" s="210"/>
      <c r="B164" s="179" t="s">
        <v>153</v>
      </c>
      <c r="C164" s="202">
        <f>SUM(C165)</f>
        <v>1425.8869999999999</v>
      </c>
      <c r="D164" s="202">
        <f>SUM(D165)</f>
        <v>1425.8869999999999</v>
      </c>
      <c r="E164" s="240">
        <f t="shared" si="37"/>
        <v>100</v>
      </c>
      <c r="F164" s="226">
        <f t="shared" si="32"/>
        <v>0</v>
      </c>
      <c r="G164" s="188" t="s">
        <v>940</v>
      </c>
      <c r="H164" s="330"/>
    </row>
    <row r="165" spans="1:8" ht="31.5" x14ac:dyDescent="0.25">
      <c r="A165" s="210"/>
      <c r="B165" s="13" t="s">
        <v>154</v>
      </c>
      <c r="C165" s="402">
        <f>1021.887+404</f>
        <v>1425.8869999999999</v>
      </c>
      <c r="D165" s="402">
        <f>1021.887+404</f>
        <v>1425.8869999999999</v>
      </c>
      <c r="E165" s="248">
        <f>D165*100/C165</f>
        <v>99.999999999999986</v>
      </c>
      <c r="F165" s="505">
        <f t="shared" si="32"/>
        <v>0</v>
      </c>
      <c r="G165" s="188" t="s">
        <v>940</v>
      </c>
      <c r="H165" s="330"/>
    </row>
    <row r="166" spans="1:8" x14ac:dyDescent="0.25">
      <c r="A166" s="210"/>
      <c r="B166" s="180" t="s">
        <v>155</v>
      </c>
      <c r="C166" s="202">
        <f>SUM(C167:C170)</f>
        <v>2174.8240000000001</v>
      </c>
      <c r="D166" s="202">
        <f>SUM(D167:D170)</f>
        <v>2173.944</v>
      </c>
      <c r="E166" s="240">
        <f t="shared" si="37"/>
        <v>99.959536955634107</v>
      </c>
      <c r="F166" s="226">
        <f t="shared" si="32"/>
        <v>0.88000000000010914</v>
      </c>
      <c r="G166" s="188"/>
      <c r="H166" s="330"/>
    </row>
    <row r="167" spans="1:8" ht="110.25" x14ac:dyDescent="0.25">
      <c r="A167" s="210"/>
      <c r="B167" s="17" t="s">
        <v>156</v>
      </c>
      <c r="C167" s="402">
        <f>830.85+153.3</f>
        <v>984.15000000000009</v>
      </c>
      <c r="D167" s="402">
        <f>830.85+153.2</f>
        <v>984.05</v>
      </c>
      <c r="E167" s="248">
        <f t="shared" ref="E167:E169" si="42">D167*100/C167</f>
        <v>99.989838947314936</v>
      </c>
      <c r="F167" s="505">
        <f t="shared" si="32"/>
        <v>0.10000000000013642</v>
      </c>
      <c r="G167" s="38" t="s">
        <v>1083</v>
      </c>
      <c r="H167" s="330"/>
    </row>
    <row r="168" spans="1:8" ht="47.25" x14ac:dyDescent="0.25">
      <c r="A168" s="210"/>
      <c r="B168" s="13" t="s">
        <v>157</v>
      </c>
      <c r="C168" s="402">
        <f>308.14+247+250.584</f>
        <v>805.72399999999993</v>
      </c>
      <c r="D168" s="402">
        <f>307.5+247+250.584</f>
        <v>805.08400000000006</v>
      </c>
      <c r="E168" s="248">
        <f t="shared" si="42"/>
        <v>99.9205683335733</v>
      </c>
      <c r="F168" s="505">
        <f t="shared" si="32"/>
        <v>0.63999999999987267</v>
      </c>
      <c r="G168" s="38" t="s">
        <v>1082</v>
      </c>
      <c r="H168" s="330"/>
    </row>
    <row r="169" spans="1:8" ht="44.25" customHeight="1" x14ac:dyDescent="0.25">
      <c r="A169" s="210"/>
      <c r="B169" s="16" t="s">
        <v>158</v>
      </c>
      <c r="C169" s="402">
        <f>174.95+10</f>
        <v>184.95</v>
      </c>
      <c r="D169" s="402">
        <f>174.81+10</f>
        <v>184.81</v>
      </c>
      <c r="E169" s="248">
        <f t="shared" si="42"/>
        <v>99.924303865909707</v>
      </c>
      <c r="F169" s="505">
        <f t="shared" si="32"/>
        <v>0.13999999999998636</v>
      </c>
      <c r="G169" s="38" t="s">
        <v>1082</v>
      </c>
      <c r="H169" s="330"/>
    </row>
    <row r="170" spans="1:8" ht="114" customHeight="1" x14ac:dyDescent="0.25">
      <c r="A170" s="210"/>
      <c r="B170" s="17" t="s">
        <v>159</v>
      </c>
      <c r="C170" s="403">
        <v>200</v>
      </c>
      <c r="D170" s="403">
        <v>200</v>
      </c>
      <c r="E170" s="241">
        <f t="shared" si="37"/>
        <v>100</v>
      </c>
      <c r="F170" s="505">
        <f t="shared" si="32"/>
        <v>0</v>
      </c>
      <c r="G170" s="17" t="s">
        <v>1063</v>
      </c>
      <c r="H170" s="330"/>
    </row>
    <row r="171" spans="1:8" ht="24.75" customHeight="1" x14ac:dyDescent="0.25">
      <c r="A171" s="210"/>
      <c r="B171" s="180" t="s">
        <v>160</v>
      </c>
      <c r="C171" s="202">
        <f>SUM(C172)</f>
        <v>80</v>
      </c>
      <c r="D171" s="202">
        <f>SUM(D172)</f>
        <v>79.853499999999997</v>
      </c>
      <c r="E171" s="240">
        <f t="shared" si="37"/>
        <v>99.816874999999996</v>
      </c>
      <c r="F171" s="226">
        <f t="shared" si="32"/>
        <v>0.14650000000000318</v>
      </c>
      <c r="G171" s="188"/>
      <c r="H171" s="330"/>
    </row>
    <row r="172" spans="1:8" ht="47.25" x14ac:dyDescent="0.25">
      <c r="A172" s="210"/>
      <c r="B172" s="17" t="s">
        <v>161</v>
      </c>
      <c r="C172" s="402">
        <f>63.5+10+6.5</f>
        <v>80</v>
      </c>
      <c r="D172" s="402">
        <f>63.3535+10+6.5</f>
        <v>79.853499999999997</v>
      </c>
      <c r="E172" s="241">
        <f t="shared" si="37"/>
        <v>99.816874999999996</v>
      </c>
      <c r="F172" s="505">
        <f t="shared" si="32"/>
        <v>0.14650000000000318</v>
      </c>
      <c r="G172" s="38" t="s">
        <v>1082</v>
      </c>
      <c r="H172" s="330"/>
    </row>
    <row r="173" spans="1:8" ht="31.5" x14ac:dyDescent="0.25">
      <c r="A173" s="242"/>
      <c r="B173" s="212" t="s">
        <v>941</v>
      </c>
      <c r="C173" s="145">
        <f>C174+C175+C180</f>
        <v>10339.107</v>
      </c>
      <c r="D173" s="145">
        <f>D174+D175+D180</f>
        <v>10230.577000000001</v>
      </c>
      <c r="E173" s="192">
        <f>SUM(D173/C173*100)</f>
        <v>98.950296190957317</v>
      </c>
      <c r="F173" s="193">
        <f t="shared" si="32"/>
        <v>108.52999999999884</v>
      </c>
      <c r="G173" s="23"/>
      <c r="H173" s="20" t="s">
        <v>942</v>
      </c>
    </row>
    <row r="174" spans="1:8" ht="30" customHeight="1" x14ac:dyDescent="0.25">
      <c r="A174" s="711"/>
      <c r="B174" s="392" t="s">
        <v>943</v>
      </c>
      <c r="C174" s="41">
        <v>9014.2199999999993</v>
      </c>
      <c r="D174" s="41">
        <v>8995.86</v>
      </c>
      <c r="E174" s="393">
        <f>SUM(D174/C174*100)</f>
        <v>99.79632181153778</v>
      </c>
      <c r="F174" s="381">
        <f>C174-D174</f>
        <v>18.359999999998763</v>
      </c>
      <c r="G174" s="200"/>
      <c r="H174" s="331"/>
    </row>
    <row r="175" spans="1:8" x14ac:dyDescent="0.25">
      <c r="A175" s="395">
        <v>1</v>
      </c>
      <c r="B175" s="396" t="s">
        <v>314</v>
      </c>
      <c r="C175" s="397">
        <v>167.85</v>
      </c>
      <c r="D175" s="397">
        <v>167.85</v>
      </c>
      <c r="E175" s="393">
        <f t="shared" ref="E175:E180" si="43">SUM(D175/C175*100)</f>
        <v>100</v>
      </c>
      <c r="F175" s="381">
        <f t="shared" si="32"/>
        <v>0</v>
      </c>
      <c r="G175" s="394"/>
      <c r="H175" s="331"/>
    </row>
    <row r="176" spans="1:8" x14ac:dyDescent="0.25">
      <c r="A176" s="395" t="s">
        <v>1037</v>
      </c>
      <c r="B176" s="398" t="s">
        <v>1038</v>
      </c>
      <c r="C176" s="41">
        <v>167.85</v>
      </c>
      <c r="D176" s="41">
        <v>167.85</v>
      </c>
      <c r="E176" s="393">
        <f t="shared" si="43"/>
        <v>100</v>
      </c>
      <c r="F176" s="381">
        <f t="shared" si="32"/>
        <v>0</v>
      </c>
      <c r="G176" s="394"/>
      <c r="H176" s="331"/>
    </row>
    <row r="177" spans="1:8" ht="63" customHeight="1" x14ac:dyDescent="0.25">
      <c r="A177" s="395"/>
      <c r="B177" s="75" t="s">
        <v>1039</v>
      </c>
      <c r="C177" s="71">
        <v>22.652000000000001</v>
      </c>
      <c r="D177" s="71">
        <v>22.652000000000001</v>
      </c>
      <c r="E177" s="399">
        <f t="shared" si="43"/>
        <v>100</v>
      </c>
      <c r="F177" s="207">
        <f t="shared" ref="F177:F185" si="44">C177-D177</f>
        <v>0</v>
      </c>
      <c r="G177" s="75" t="s">
        <v>1040</v>
      </c>
      <c r="H177" s="331"/>
    </row>
    <row r="178" spans="1:8" ht="66.75" customHeight="1" x14ac:dyDescent="0.25">
      <c r="A178" s="395"/>
      <c r="B178" s="75" t="s">
        <v>316</v>
      </c>
      <c r="C178" s="244">
        <v>75</v>
      </c>
      <c r="D178" s="244">
        <v>75</v>
      </c>
      <c r="E178" s="399">
        <f t="shared" si="43"/>
        <v>100</v>
      </c>
      <c r="F178" s="207">
        <f t="shared" si="44"/>
        <v>0</v>
      </c>
      <c r="G178" s="87" t="s">
        <v>1041</v>
      </c>
      <c r="H178" s="331"/>
    </row>
    <row r="179" spans="1:8" ht="46.5" customHeight="1" x14ac:dyDescent="0.25">
      <c r="A179" s="395"/>
      <c r="B179" s="75" t="s">
        <v>944</v>
      </c>
      <c r="C179" s="71">
        <v>70.207629999999995</v>
      </c>
      <c r="D179" s="71">
        <v>70.207629999999995</v>
      </c>
      <c r="E179" s="399">
        <f t="shared" si="43"/>
        <v>100</v>
      </c>
      <c r="F179" s="207">
        <f t="shared" si="44"/>
        <v>0</v>
      </c>
      <c r="G179" s="34" t="s">
        <v>1042</v>
      </c>
      <c r="H179" s="331"/>
    </row>
    <row r="180" spans="1:8" x14ac:dyDescent="0.25">
      <c r="A180" s="395" t="s">
        <v>1043</v>
      </c>
      <c r="B180" s="396" t="s">
        <v>319</v>
      </c>
      <c r="C180" s="397">
        <f>C181+C183+C186</f>
        <v>1157.037</v>
      </c>
      <c r="D180" s="397">
        <f>D181+D183+D186</f>
        <v>1066.867</v>
      </c>
      <c r="E180" s="393">
        <f t="shared" si="43"/>
        <v>92.206817932356529</v>
      </c>
      <c r="F180" s="381">
        <f t="shared" si="44"/>
        <v>90.170000000000073</v>
      </c>
      <c r="G180" s="243"/>
      <c r="H180" s="331"/>
    </row>
    <row r="181" spans="1:8" ht="31.5" x14ac:dyDescent="0.25">
      <c r="A181" s="395" t="s">
        <v>1044</v>
      </c>
      <c r="B181" s="398" t="s">
        <v>945</v>
      </c>
      <c r="C181" s="41">
        <v>642.94000000000005</v>
      </c>
      <c r="D181" s="244">
        <v>642.9</v>
      </c>
      <c r="E181" s="399">
        <f t="shared" ref="E181:E182" si="45">SUM(D181/C181*100)</f>
        <v>99.993778579649714</v>
      </c>
      <c r="F181" s="207">
        <f t="shared" si="44"/>
        <v>4.0000000000077307E-2</v>
      </c>
      <c r="G181" s="711"/>
      <c r="H181" s="331"/>
    </row>
    <row r="182" spans="1:8" ht="53.25" customHeight="1" x14ac:dyDescent="0.25">
      <c r="A182" s="395"/>
      <c r="B182" s="75" t="s">
        <v>946</v>
      </c>
      <c r="C182" s="71">
        <v>642.94336999999996</v>
      </c>
      <c r="D182" s="71">
        <v>642.94336999999996</v>
      </c>
      <c r="E182" s="399">
        <f t="shared" si="45"/>
        <v>100</v>
      </c>
      <c r="F182" s="207">
        <f t="shared" si="44"/>
        <v>0</v>
      </c>
      <c r="G182" s="34" t="s">
        <v>1045</v>
      </c>
      <c r="H182" s="331"/>
    </row>
    <row r="183" spans="1:8" ht="31.5" x14ac:dyDescent="0.25">
      <c r="A183" s="395" t="s">
        <v>1046</v>
      </c>
      <c r="B183" s="398" t="s">
        <v>947</v>
      </c>
      <c r="C183" s="41">
        <f>C184+C185</f>
        <v>290</v>
      </c>
      <c r="D183" s="41">
        <f>D184+D185</f>
        <v>199.87</v>
      </c>
      <c r="E183" s="41">
        <f>D183/C183*100</f>
        <v>68.920689655172424</v>
      </c>
      <c r="F183" s="41">
        <f>C183-D183</f>
        <v>90.13</v>
      </c>
      <c r="G183" s="711"/>
      <c r="H183" s="331"/>
    </row>
    <row r="184" spans="1:8" ht="36" customHeight="1" x14ac:dyDescent="0.25">
      <c r="A184" s="395"/>
      <c r="B184" s="75" t="s">
        <v>323</v>
      </c>
      <c r="C184" s="400">
        <v>90</v>
      </c>
      <c r="D184" s="400">
        <v>0</v>
      </c>
      <c r="E184" s="399">
        <f t="shared" ref="E184:E185" si="46">SUM(D184/C184*100)</f>
        <v>0</v>
      </c>
      <c r="F184" s="207">
        <f t="shared" si="44"/>
        <v>90</v>
      </c>
      <c r="G184" s="87" t="s">
        <v>1047</v>
      </c>
      <c r="H184" s="331"/>
    </row>
    <row r="185" spans="1:8" ht="33" customHeight="1" x14ac:dyDescent="0.25">
      <c r="A185" s="395"/>
      <c r="B185" s="394" t="s">
        <v>948</v>
      </c>
      <c r="C185" s="400">
        <v>200</v>
      </c>
      <c r="D185" s="400">
        <v>199.87</v>
      </c>
      <c r="E185" s="399">
        <f t="shared" si="46"/>
        <v>99.935000000000002</v>
      </c>
      <c r="F185" s="207">
        <f t="shared" si="44"/>
        <v>0.12999999999999545</v>
      </c>
      <c r="G185" s="401" t="s">
        <v>1048</v>
      </c>
      <c r="H185" s="331"/>
    </row>
    <row r="186" spans="1:8" ht="47.25" x14ac:dyDescent="0.25">
      <c r="A186" s="395" t="s">
        <v>1049</v>
      </c>
      <c r="B186" s="398" t="s">
        <v>325</v>
      </c>
      <c r="C186" s="41">
        <f>SUM(C187:C188)</f>
        <v>224.09699999999998</v>
      </c>
      <c r="D186" s="41">
        <f>SUM(D187:D188)</f>
        <v>224.09699999999998</v>
      </c>
      <c r="E186" s="393">
        <f>SUM(D186/C186*100)</f>
        <v>100</v>
      </c>
      <c r="F186" s="381">
        <f>C186-D186</f>
        <v>0</v>
      </c>
      <c r="G186" s="711"/>
      <c r="H186" s="331"/>
    </row>
    <row r="187" spans="1:8" ht="60" customHeight="1" x14ac:dyDescent="0.25">
      <c r="A187" s="395"/>
      <c r="B187" s="75" t="s">
        <v>949</v>
      </c>
      <c r="C187" s="71">
        <v>89.096999999999994</v>
      </c>
      <c r="D187" s="71">
        <v>89.096999999999994</v>
      </c>
      <c r="E187" s="399">
        <f>SUM(D187/C187*100)</f>
        <v>100</v>
      </c>
      <c r="F187" s="207">
        <f>C187-D187</f>
        <v>0</v>
      </c>
      <c r="G187" s="394" t="s">
        <v>1050</v>
      </c>
      <c r="H187" s="331"/>
    </row>
    <row r="188" spans="1:8" ht="102.75" customHeight="1" x14ac:dyDescent="0.25">
      <c r="A188" s="395"/>
      <c r="B188" s="75" t="s">
        <v>327</v>
      </c>
      <c r="C188" s="244">
        <v>135</v>
      </c>
      <c r="D188" s="244">
        <v>135</v>
      </c>
      <c r="E188" s="399">
        <f>SUM(D188/C188*100)</f>
        <v>100</v>
      </c>
      <c r="F188" s="207">
        <f>C188-D188</f>
        <v>0</v>
      </c>
      <c r="G188" s="87" t="s">
        <v>1051</v>
      </c>
      <c r="H188" s="331"/>
    </row>
    <row r="189" spans="1:8" ht="61.5" customHeight="1" x14ac:dyDescent="0.25">
      <c r="A189" s="23">
        <v>9</v>
      </c>
      <c r="B189" s="245" t="s">
        <v>199</v>
      </c>
      <c r="C189" s="145">
        <f>SUM(C190+C191)</f>
        <v>260</v>
      </c>
      <c r="D189" s="246">
        <f>SUM(D190+D191)</f>
        <v>260</v>
      </c>
      <c r="E189" s="222">
        <f>SUM(D189/C189*100)</f>
        <v>100</v>
      </c>
      <c r="F189" s="193">
        <f>C189-D189</f>
        <v>0</v>
      </c>
      <c r="G189" s="218"/>
      <c r="H189" s="189" t="s">
        <v>950</v>
      </c>
    </row>
    <row r="190" spans="1:8" ht="31.5" x14ac:dyDescent="0.25">
      <c r="A190" s="378"/>
      <c r="B190" s="379" t="s">
        <v>200</v>
      </c>
      <c r="C190" s="380">
        <v>80</v>
      </c>
      <c r="D190" s="380">
        <v>80</v>
      </c>
      <c r="E190" s="313">
        <f t="shared" ref="E190:E213" si="47">SUM(D190/C190*100)</f>
        <v>100</v>
      </c>
      <c r="F190" s="381">
        <f t="shared" ref="F190:F198" si="48">C190-D190</f>
        <v>0</v>
      </c>
      <c r="G190" s="711" t="s">
        <v>940</v>
      </c>
      <c r="H190" s="328"/>
    </row>
    <row r="191" spans="1:8" x14ac:dyDescent="0.25">
      <c r="A191" s="378"/>
      <c r="B191" s="279" t="s">
        <v>201</v>
      </c>
      <c r="C191" s="380">
        <f>SUM(C192+C196)+C199</f>
        <v>180</v>
      </c>
      <c r="D191" s="380">
        <f>SUM(D192+D196)+D199</f>
        <v>180</v>
      </c>
      <c r="E191" s="313">
        <f t="shared" si="47"/>
        <v>100</v>
      </c>
      <c r="F191" s="381">
        <f t="shared" si="48"/>
        <v>0</v>
      </c>
      <c r="G191" s="711" t="s">
        <v>940</v>
      </c>
      <c r="H191" s="328"/>
    </row>
    <row r="192" spans="1:8" ht="31.5" x14ac:dyDescent="0.25">
      <c r="A192" s="711"/>
      <c r="B192" s="383" t="s">
        <v>951</v>
      </c>
      <c r="C192" s="732">
        <f>SUM(C193:C195)</f>
        <v>10</v>
      </c>
      <c r="D192" s="732">
        <f>SUM(D193:D195)</f>
        <v>10</v>
      </c>
      <c r="E192" s="382">
        <f t="shared" si="47"/>
        <v>100</v>
      </c>
      <c r="F192" s="207">
        <f t="shared" si="48"/>
        <v>0</v>
      </c>
      <c r="G192" s="711" t="s">
        <v>940</v>
      </c>
      <c r="H192" s="328"/>
    </row>
    <row r="193" spans="1:8" x14ac:dyDescent="0.25">
      <c r="A193" s="711"/>
      <c r="B193" s="34" t="s">
        <v>952</v>
      </c>
      <c r="C193" s="155">
        <v>5</v>
      </c>
      <c r="D193" s="155">
        <v>5</v>
      </c>
      <c r="E193" s="382">
        <f t="shared" si="47"/>
        <v>100</v>
      </c>
      <c r="F193" s="207">
        <f t="shared" si="48"/>
        <v>0</v>
      </c>
      <c r="G193" s="711" t="s">
        <v>940</v>
      </c>
      <c r="H193" s="328"/>
    </row>
    <row r="194" spans="1:8" x14ac:dyDescent="0.25">
      <c r="A194" s="378"/>
      <c r="B194" s="34" t="s">
        <v>953</v>
      </c>
      <c r="C194" s="155">
        <v>3</v>
      </c>
      <c r="D194" s="155">
        <v>3</v>
      </c>
      <c r="E194" s="382">
        <f t="shared" si="47"/>
        <v>100</v>
      </c>
      <c r="F194" s="207">
        <f t="shared" si="48"/>
        <v>0</v>
      </c>
      <c r="G194" s="711" t="s">
        <v>940</v>
      </c>
      <c r="H194" s="328"/>
    </row>
    <row r="195" spans="1:8" x14ac:dyDescent="0.25">
      <c r="A195" s="711"/>
      <c r="B195" s="243" t="s">
        <v>954</v>
      </c>
      <c r="C195" s="155">
        <v>2</v>
      </c>
      <c r="D195" s="155">
        <v>2</v>
      </c>
      <c r="E195" s="382">
        <f t="shared" si="47"/>
        <v>100</v>
      </c>
      <c r="F195" s="207">
        <f t="shared" si="48"/>
        <v>0</v>
      </c>
      <c r="G195" s="711" t="s">
        <v>940</v>
      </c>
      <c r="H195" s="328"/>
    </row>
    <row r="196" spans="1:8" ht="31.5" x14ac:dyDescent="0.25">
      <c r="A196" s="711"/>
      <c r="B196" s="383" t="s">
        <v>203</v>
      </c>
      <c r="C196" s="384">
        <f>SUM(C197:C198)</f>
        <v>10</v>
      </c>
      <c r="D196" s="384">
        <f>SUM(D197:D198)</f>
        <v>10</v>
      </c>
      <c r="E196" s="382">
        <f t="shared" si="47"/>
        <v>100</v>
      </c>
      <c r="F196" s="207">
        <f t="shared" si="48"/>
        <v>0</v>
      </c>
      <c r="G196" s="711" t="s">
        <v>940</v>
      </c>
      <c r="H196" s="328"/>
    </row>
    <row r="197" spans="1:8" x14ac:dyDescent="0.25">
      <c r="A197" s="711"/>
      <c r="B197" s="34" t="s">
        <v>955</v>
      </c>
      <c r="C197" s="155">
        <v>5</v>
      </c>
      <c r="D197" s="155">
        <v>5</v>
      </c>
      <c r="E197" s="382">
        <f t="shared" si="47"/>
        <v>100</v>
      </c>
      <c r="F197" s="207">
        <f t="shared" si="48"/>
        <v>0</v>
      </c>
      <c r="G197" s="711" t="s">
        <v>940</v>
      </c>
      <c r="H197" s="328"/>
    </row>
    <row r="198" spans="1:8" x14ac:dyDescent="0.25">
      <c r="A198" s="711"/>
      <c r="B198" s="243" t="s">
        <v>956</v>
      </c>
      <c r="C198" s="155">
        <v>5</v>
      </c>
      <c r="D198" s="155">
        <v>5</v>
      </c>
      <c r="E198" s="382">
        <f t="shared" si="47"/>
        <v>100</v>
      </c>
      <c r="F198" s="207">
        <f t="shared" si="48"/>
        <v>0</v>
      </c>
      <c r="G198" s="711" t="s">
        <v>940</v>
      </c>
      <c r="H198" s="328"/>
    </row>
    <row r="199" spans="1:8" x14ac:dyDescent="0.25">
      <c r="A199" s="711"/>
      <c r="B199" s="385" t="s">
        <v>957</v>
      </c>
      <c r="C199" s="386">
        <f>SUM(C200:C213)</f>
        <v>160</v>
      </c>
      <c r="D199" s="387">
        <f>SUM(D200:D213)</f>
        <v>160</v>
      </c>
      <c r="E199" s="388">
        <f t="shared" si="47"/>
        <v>100</v>
      </c>
      <c r="F199" s="274">
        <f>C199-D199</f>
        <v>0</v>
      </c>
      <c r="G199" s="711" t="s">
        <v>940</v>
      </c>
      <c r="H199" s="328"/>
    </row>
    <row r="200" spans="1:8" x14ac:dyDescent="0.25">
      <c r="A200" s="378"/>
      <c r="B200" s="31" t="s">
        <v>958</v>
      </c>
      <c r="C200" s="200">
        <v>3</v>
      </c>
      <c r="D200" s="200">
        <v>3</v>
      </c>
      <c r="E200" s="382">
        <f t="shared" si="47"/>
        <v>100</v>
      </c>
      <c r="F200" s="207">
        <f t="shared" ref="F200:F228" si="49">C200-D200</f>
        <v>0</v>
      </c>
      <c r="G200" s="711" t="s">
        <v>940</v>
      </c>
      <c r="H200" s="328"/>
    </row>
    <row r="201" spans="1:8" x14ac:dyDescent="0.25">
      <c r="A201" s="378"/>
      <c r="B201" s="31" t="s">
        <v>959</v>
      </c>
      <c r="C201" s="200">
        <v>3</v>
      </c>
      <c r="D201" s="200">
        <v>3</v>
      </c>
      <c r="E201" s="382">
        <f t="shared" si="47"/>
        <v>100</v>
      </c>
      <c r="F201" s="207">
        <f t="shared" si="49"/>
        <v>0</v>
      </c>
      <c r="G201" s="711" t="s">
        <v>940</v>
      </c>
      <c r="H201" s="328"/>
    </row>
    <row r="202" spans="1:8" x14ac:dyDescent="0.25">
      <c r="A202" s="711"/>
      <c r="B202" s="31" t="s">
        <v>960</v>
      </c>
      <c r="C202" s="200">
        <v>3</v>
      </c>
      <c r="D202" s="200">
        <v>3</v>
      </c>
      <c r="E202" s="382">
        <f t="shared" si="47"/>
        <v>100</v>
      </c>
      <c r="F202" s="207">
        <f t="shared" si="49"/>
        <v>0</v>
      </c>
      <c r="G202" s="711" t="s">
        <v>940</v>
      </c>
      <c r="H202" s="328"/>
    </row>
    <row r="203" spans="1:8" x14ac:dyDescent="0.25">
      <c r="A203" s="378"/>
      <c r="B203" s="31" t="s">
        <v>961</v>
      </c>
      <c r="C203" s="200">
        <v>2</v>
      </c>
      <c r="D203" s="200">
        <v>2</v>
      </c>
      <c r="E203" s="382">
        <f t="shared" si="47"/>
        <v>100</v>
      </c>
      <c r="F203" s="207">
        <f t="shared" si="49"/>
        <v>0</v>
      </c>
      <c r="G203" s="711" t="s">
        <v>940</v>
      </c>
      <c r="H203" s="328"/>
    </row>
    <row r="204" spans="1:8" x14ac:dyDescent="0.25">
      <c r="A204" s="378"/>
      <c r="B204" s="31" t="s">
        <v>962</v>
      </c>
      <c r="C204" s="200">
        <v>2</v>
      </c>
      <c r="D204" s="200">
        <v>2</v>
      </c>
      <c r="E204" s="382">
        <f t="shared" si="47"/>
        <v>100</v>
      </c>
      <c r="F204" s="207">
        <f t="shared" si="49"/>
        <v>0</v>
      </c>
      <c r="G204" s="711" t="s">
        <v>940</v>
      </c>
      <c r="H204" s="328"/>
    </row>
    <row r="205" spans="1:8" x14ac:dyDescent="0.25">
      <c r="A205" s="378"/>
      <c r="B205" s="31" t="s">
        <v>963</v>
      </c>
      <c r="C205" s="200">
        <v>10</v>
      </c>
      <c r="D205" s="200">
        <v>10</v>
      </c>
      <c r="E205" s="382">
        <f t="shared" si="47"/>
        <v>100</v>
      </c>
      <c r="F205" s="207">
        <f t="shared" si="49"/>
        <v>0</v>
      </c>
      <c r="G205" s="711" t="s">
        <v>940</v>
      </c>
      <c r="H205" s="328"/>
    </row>
    <row r="206" spans="1:8" x14ac:dyDescent="0.25">
      <c r="A206" s="378"/>
      <c r="B206" s="31" t="s">
        <v>964</v>
      </c>
      <c r="C206" s="200">
        <v>2</v>
      </c>
      <c r="D206" s="200">
        <v>2</v>
      </c>
      <c r="E206" s="382">
        <f t="shared" si="47"/>
        <v>100</v>
      </c>
      <c r="F206" s="207">
        <f t="shared" si="49"/>
        <v>0</v>
      </c>
      <c r="G206" s="711" t="s">
        <v>940</v>
      </c>
      <c r="H206" s="328"/>
    </row>
    <row r="207" spans="1:8" x14ac:dyDescent="0.25">
      <c r="A207" s="378"/>
      <c r="B207" s="31" t="s">
        <v>965</v>
      </c>
      <c r="C207" s="200">
        <v>2</v>
      </c>
      <c r="D207" s="200">
        <v>2</v>
      </c>
      <c r="E207" s="382">
        <f t="shared" si="47"/>
        <v>100</v>
      </c>
      <c r="F207" s="207">
        <f t="shared" si="49"/>
        <v>0</v>
      </c>
      <c r="G207" s="711" t="s">
        <v>940</v>
      </c>
      <c r="H207" s="328"/>
    </row>
    <row r="208" spans="1:8" x14ac:dyDescent="0.25">
      <c r="A208" s="378"/>
      <c r="B208" s="34" t="s">
        <v>966</v>
      </c>
      <c r="C208" s="389">
        <v>2</v>
      </c>
      <c r="D208" s="389">
        <v>2</v>
      </c>
      <c r="E208" s="382">
        <f t="shared" si="47"/>
        <v>100</v>
      </c>
      <c r="F208" s="207">
        <f t="shared" si="49"/>
        <v>0</v>
      </c>
      <c r="G208" s="711" t="s">
        <v>940</v>
      </c>
      <c r="H208" s="328"/>
    </row>
    <row r="209" spans="1:8" x14ac:dyDescent="0.25">
      <c r="A209" s="378"/>
      <c r="B209" s="31" t="s">
        <v>967</v>
      </c>
      <c r="C209" s="200">
        <v>2</v>
      </c>
      <c r="D209" s="200">
        <v>2</v>
      </c>
      <c r="E209" s="382">
        <f t="shared" si="47"/>
        <v>100</v>
      </c>
      <c r="F209" s="207">
        <f t="shared" si="49"/>
        <v>0</v>
      </c>
      <c r="G209" s="711" t="s">
        <v>940</v>
      </c>
      <c r="H209" s="328"/>
    </row>
    <row r="210" spans="1:8" x14ac:dyDescent="0.25">
      <c r="A210" s="378"/>
      <c r="B210" s="34" t="s">
        <v>968</v>
      </c>
      <c r="C210" s="200">
        <v>2</v>
      </c>
      <c r="D210" s="200">
        <v>2</v>
      </c>
      <c r="E210" s="382">
        <f t="shared" si="47"/>
        <v>100</v>
      </c>
      <c r="F210" s="207">
        <f t="shared" si="49"/>
        <v>0</v>
      </c>
      <c r="G210" s="711" t="s">
        <v>940</v>
      </c>
      <c r="H210" s="328"/>
    </row>
    <row r="211" spans="1:8" ht="31.5" x14ac:dyDescent="0.25">
      <c r="A211" s="378"/>
      <c r="B211" s="390" t="s">
        <v>969</v>
      </c>
      <c r="C211" s="200">
        <v>2</v>
      </c>
      <c r="D211" s="200">
        <v>2</v>
      </c>
      <c r="E211" s="382">
        <f t="shared" si="47"/>
        <v>100</v>
      </c>
      <c r="F211" s="207">
        <f t="shared" si="49"/>
        <v>0</v>
      </c>
      <c r="G211" s="711" t="s">
        <v>940</v>
      </c>
      <c r="H211" s="328"/>
    </row>
    <row r="212" spans="1:8" x14ac:dyDescent="0.25">
      <c r="A212" s="378"/>
      <c r="B212" s="37" t="s">
        <v>970</v>
      </c>
      <c r="C212" s="200">
        <v>5</v>
      </c>
      <c r="D212" s="200">
        <v>5</v>
      </c>
      <c r="E212" s="382">
        <f t="shared" si="47"/>
        <v>100</v>
      </c>
      <c r="F212" s="207">
        <f t="shared" si="49"/>
        <v>0</v>
      </c>
      <c r="G212" s="711" t="s">
        <v>940</v>
      </c>
      <c r="H212" s="328"/>
    </row>
    <row r="213" spans="1:8" ht="31.5" x14ac:dyDescent="0.25">
      <c r="A213" s="378"/>
      <c r="B213" s="34" t="s">
        <v>971</v>
      </c>
      <c r="C213" s="200">
        <v>120</v>
      </c>
      <c r="D213" s="200">
        <v>120</v>
      </c>
      <c r="E213" s="391">
        <f t="shared" si="47"/>
        <v>100</v>
      </c>
      <c r="F213" s="207">
        <f t="shared" si="49"/>
        <v>0</v>
      </c>
      <c r="G213" s="711" t="s">
        <v>940</v>
      </c>
      <c r="H213" s="328"/>
    </row>
    <row r="214" spans="1:8" ht="31.5" x14ac:dyDescent="0.25">
      <c r="A214" s="19">
        <v>10</v>
      </c>
      <c r="B214" s="89" t="s">
        <v>972</v>
      </c>
      <c r="C214" s="733">
        <f>SUM(C215:C229)</f>
        <v>2327.43712</v>
      </c>
      <c r="D214" s="733">
        <f>SUM(D215:D229)</f>
        <v>2327.23387</v>
      </c>
      <c r="E214" s="192">
        <f>SUM(D214/C214*100)</f>
        <v>99.991267218424369</v>
      </c>
      <c r="F214" s="193">
        <f>C214-D214</f>
        <v>0.20325000000002547</v>
      </c>
      <c r="G214" s="242"/>
      <c r="H214" s="338" t="s">
        <v>973</v>
      </c>
    </row>
    <row r="215" spans="1:8" x14ac:dyDescent="0.25">
      <c r="A215" s="711"/>
      <c r="B215" s="28" t="s">
        <v>136</v>
      </c>
      <c r="C215" s="110">
        <v>617.43712000000005</v>
      </c>
      <c r="D215" s="110">
        <v>617.43687</v>
      </c>
      <c r="E215" s="248">
        <f t="shared" ref="E215:E228" si="50">SUM(D215/C215*100)</f>
        <v>99.999959510046949</v>
      </c>
      <c r="F215" s="199">
        <f t="shared" si="49"/>
        <v>2.500000000509317E-4</v>
      </c>
      <c r="G215" s="711" t="s">
        <v>940</v>
      </c>
      <c r="H215" s="336"/>
    </row>
    <row r="216" spans="1:8" x14ac:dyDescent="0.25">
      <c r="A216" s="711"/>
      <c r="B216" s="27" t="s">
        <v>737</v>
      </c>
      <c r="C216" s="121">
        <v>26.8</v>
      </c>
      <c r="D216" s="123">
        <v>26.8</v>
      </c>
      <c r="E216" s="248">
        <f t="shared" si="50"/>
        <v>100</v>
      </c>
      <c r="F216" s="199">
        <f t="shared" si="49"/>
        <v>0</v>
      </c>
      <c r="G216" s="711" t="s">
        <v>940</v>
      </c>
      <c r="H216" s="336"/>
    </row>
    <row r="217" spans="1:8" x14ac:dyDescent="0.25">
      <c r="A217" s="711"/>
      <c r="B217" s="27" t="s">
        <v>741</v>
      </c>
      <c r="C217" s="121">
        <v>27</v>
      </c>
      <c r="D217" s="124">
        <v>27</v>
      </c>
      <c r="E217" s="248">
        <f>SUM(D217/C217*100)</f>
        <v>100</v>
      </c>
      <c r="F217" s="199">
        <f t="shared" si="49"/>
        <v>0</v>
      </c>
      <c r="G217" s="711" t="s">
        <v>940</v>
      </c>
      <c r="H217" s="336"/>
    </row>
    <row r="218" spans="1:8" ht="47.25" x14ac:dyDescent="0.25">
      <c r="A218" s="711"/>
      <c r="B218" s="316" t="s">
        <v>740</v>
      </c>
      <c r="C218" s="124">
        <v>28.25</v>
      </c>
      <c r="D218" s="124">
        <v>28.25</v>
      </c>
      <c r="E218" s="248">
        <f t="shared" si="50"/>
        <v>100</v>
      </c>
      <c r="F218" s="199">
        <f t="shared" si="49"/>
        <v>0</v>
      </c>
      <c r="G218" s="711" t="s">
        <v>940</v>
      </c>
      <c r="H218" s="336"/>
    </row>
    <row r="219" spans="1:8" ht="63" x14ac:dyDescent="0.25">
      <c r="A219" s="711"/>
      <c r="B219" s="316" t="s">
        <v>742</v>
      </c>
      <c r="C219" s="121">
        <v>200</v>
      </c>
      <c r="D219" s="143">
        <v>200</v>
      </c>
      <c r="E219" s="248">
        <f t="shared" si="50"/>
        <v>100</v>
      </c>
      <c r="F219" s="199">
        <f t="shared" si="49"/>
        <v>0</v>
      </c>
      <c r="G219" s="711" t="s">
        <v>940</v>
      </c>
      <c r="H219" s="336"/>
    </row>
    <row r="220" spans="1:8" ht="47.25" x14ac:dyDescent="0.25">
      <c r="A220" s="711"/>
      <c r="B220" s="316" t="s">
        <v>739</v>
      </c>
      <c r="C220" s="121">
        <v>321.75</v>
      </c>
      <c r="D220" s="123">
        <v>321.54700000000003</v>
      </c>
      <c r="E220" s="248">
        <f t="shared" ref="E220:E222" si="51">SUM(D220/C220*100)</f>
        <v>99.936907536907555</v>
      </c>
      <c r="F220" s="199">
        <f t="shared" si="49"/>
        <v>0.20299999999997453</v>
      </c>
      <c r="G220" s="711" t="s">
        <v>940</v>
      </c>
      <c r="H220" s="336"/>
    </row>
    <row r="221" spans="1:8" x14ac:dyDescent="0.25">
      <c r="A221" s="711"/>
      <c r="B221" s="27" t="s">
        <v>974</v>
      </c>
      <c r="C221" s="121">
        <v>39.86</v>
      </c>
      <c r="D221" s="121">
        <v>39.86</v>
      </c>
      <c r="E221" s="248">
        <f>SUM(D221/C221*100)</f>
        <v>100</v>
      </c>
      <c r="F221" s="199">
        <f t="shared" si="49"/>
        <v>0</v>
      </c>
      <c r="G221" s="711" t="s">
        <v>940</v>
      </c>
      <c r="H221" s="336"/>
    </row>
    <row r="222" spans="1:8" x14ac:dyDescent="0.25">
      <c r="A222" s="711"/>
      <c r="B222" s="27" t="s">
        <v>975</v>
      </c>
      <c r="C222" s="170">
        <v>19</v>
      </c>
      <c r="D222" s="489">
        <v>19</v>
      </c>
      <c r="E222" s="248">
        <f t="shared" si="51"/>
        <v>100</v>
      </c>
      <c r="F222" s="199">
        <f t="shared" si="49"/>
        <v>0</v>
      </c>
      <c r="G222" s="711" t="s">
        <v>940</v>
      </c>
      <c r="H222" s="336"/>
    </row>
    <row r="223" spans="1:8" ht="47.25" x14ac:dyDescent="0.25">
      <c r="A223" s="711"/>
      <c r="B223" s="27" t="s">
        <v>135</v>
      </c>
      <c r="C223" s="200">
        <v>18</v>
      </c>
      <c r="D223" s="200">
        <v>18</v>
      </c>
      <c r="E223" s="248">
        <f t="shared" si="50"/>
        <v>100</v>
      </c>
      <c r="F223" s="199">
        <f t="shared" si="49"/>
        <v>0</v>
      </c>
      <c r="G223" s="711" t="s">
        <v>940</v>
      </c>
      <c r="H223" s="336"/>
    </row>
    <row r="224" spans="1:8" x14ac:dyDescent="0.25">
      <c r="A224" s="711"/>
      <c r="B224" s="27" t="s">
        <v>738</v>
      </c>
      <c r="C224" s="200">
        <v>0</v>
      </c>
      <c r="D224" s="200">
        <v>0</v>
      </c>
      <c r="E224" s="248"/>
      <c r="F224" s="199">
        <f t="shared" si="49"/>
        <v>0</v>
      </c>
      <c r="G224" s="711" t="s">
        <v>940</v>
      </c>
      <c r="H224" s="336"/>
    </row>
    <row r="225" spans="1:8" ht="31.5" x14ac:dyDescent="0.25">
      <c r="A225" s="188"/>
      <c r="B225" s="316" t="s">
        <v>743</v>
      </c>
      <c r="C225" s="503">
        <v>99</v>
      </c>
      <c r="D225" s="503">
        <v>99</v>
      </c>
      <c r="E225" s="248">
        <f t="shared" si="50"/>
        <v>100</v>
      </c>
      <c r="F225" s="199">
        <f t="shared" si="49"/>
        <v>0</v>
      </c>
      <c r="G225" s="711" t="s">
        <v>940</v>
      </c>
      <c r="H225" s="328"/>
    </row>
    <row r="226" spans="1:8" ht="28.5" customHeight="1" x14ac:dyDescent="0.25">
      <c r="A226" s="188"/>
      <c r="B226" s="317" t="s">
        <v>760</v>
      </c>
      <c r="C226" s="170">
        <v>44.14</v>
      </c>
      <c r="D226" s="170">
        <v>44.14</v>
      </c>
      <c r="E226" s="248">
        <f t="shared" si="50"/>
        <v>100</v>
      </c>
      <c r="F226" s="199">
        <f t="shared" si="49"/>
        <v>0</v>
      </c>
      <c r="G226" s="711" t="s">
        <v>940</v>
      </c>
      <c r="H226" s="328"/>
    </row>
    <row r="227" spans="1:8" ht="18" customHeight="1" x14ac:dyDescent="0.25">
      <c r="A227" s="188"/>
      <c r="B227" s="323" t="s">
        <v>1021</v>
      </c>
      <c r="C227" s="121">
        <v>101.2</v>
      </c>
      <c r="D227" s="121">
        <v>101.2</v>
      </c>
      <c r="E227" s="248">
        <f t="shared" ref="E227" si="52">SUM(D227/C227*100)</f>
        <v>100</v>
      </c>
      <c r="F227" s="199">
        <f t="shared" ref="F227" si="53">C227-D227</f>
        <v>0</v>
      </c>
      <c r="G227" s="711" t="s">
        <v>940</v>
      </c>
      <c r="H227" s="328"/>
    </row>
    <row r="228" spans="1:8" ht="19.5" customHeight="1" x14ac:dyDescent="0.25">
      <c r="A228" s="188"/>
      <c r="B228" s="318" t="s">
        <v>976</v>
      </c>
      <c r="C228" s="503">
        <v>35</v>
      </c>
      <c r="D228" s="503">
        <v>35</v>
      </c>
      <c r="E228" s="248">
        <f t="shared" si="50"/>
        <v>100</v>
      </c>
      <c r="F228" s="199">
        <f t="shared" si="49"/>
        <v>0</v>
      </c>
      <c r="G228" s="711" t="s">
        <v>940</v>
      </c>
      <c r="H228" s="328"/>
    </row>
    <row r="229" spans="1:8" ht="28.5" customHeight="1" x14ac:dyDescent="0.25">
      <c r="A229" s="188"/>
      <c r="B229" s="27" t="s">
        <v>736</v>
      </c>
      <c r="C229" s="503">
        <v>750</v>
      </c>
      <c r="D229" s="503">
        <v>750</v>
      </c>
      <c r="E229" s="248">
        <f t="shared" ref="E229" si="54">SUM(D229/C229*100)</f>
        <v>100</v>
      </c>
      <c r="F229" s="199">
        <f t="shared" ref="F229" si="55">C229-D229</f>
        <v>0</v>
      </c>
      <c r="G229" s="711" t="s">
        <v>940</v>
      </c>
      <c r="H229" s="328"/>
    </row>
    <row r="230" spans="1:8" ht="31.5" x14ac:dyDescent="0.25">
      <c r="A230" s="19">
        <v>11</v>
      </c>
      <c r="B230" s="167" t="s">
        <v>1020</v>
      </c>
      <c r="C230" s="145">
        <f>SUM(C231:C233)</f>
        <v>4942.1900000000005</v>
      </c>
      <c r="D230" s="145">
        <f>SUM(D231:D233)</f>
        <v>4942.1900000000005</v>
      </c>
      <c r="E230" s="249">
        <f>SUM(D230/C230*100)</f>
        <v>100</v>
      </c>
      <c r="F230" s="193">
        <f>C230-D230</f>
        <v>0</v>
      </c>
      <c r="G230" s="218"/>
      <c r="H230" s="20" t="s">
        <v>1032</v>
      </c>
    </row>
    <row r="231" spans="1:8" ht="31.5" x14ac:dyDescent="0.25">
      <c r="A231" s="19"/>
      <c r="B231" s="34" t="s">
        <v>977</v>
      </c>
      <c r="C231" s="403">
        <v>3942.19</v>
      </c>
      <c r="D231" s="403">
        <v>3942.19</v>
      </c>
      <c r="E231" s="248">
        <f>SUM(D231/C231*100)</f>
        <v>100</v>
      </c>
      <c r="F231" s="207">
        <f>SUM(C231-D231)</f>
        <v>0</v>
      </c>
      <c r="G231" s="711" t="s">
        <v>940</v>
      </c>
      <c r="H231" s="337"/>
    </row>
    <row r="232" spans="1:8" ht="47.25" hidden="1" customHeight="1" x14ac:dyDescent="0.25">
      <c r="A232" s="19"/>
      <c r="B232" s="157" t="s">
        <v>1011</v>
      </c>
      <c r="C232" s="402"/>
      <c r="D232" s="402"/>
      <c r="E232" s="248"/>
      <c r="F232" s="207"/>
      <c r="G232" s="711"/>
      <c r="H232" s="337"/>
    </row>
    <row r="233" spans="1:8" ht="18.75" customHeight="1" x14ac:dyDescent="0.25">
      <c r="A233" s="112"/>
      <c r="B233" s="3" t="s">
        <v>978</v>
      </c>
      <c r="C233" s="144">
        <v>1000</v>
      </c>
      <c r="D233" s="144">
        <v>1000</v>
      </c>
      <c r="E233" s="248">
        <f>SUM(D233/C233*100)</f>
        <v>100</v>
      </c>
      <c r="F233" s="199">
        <f>C233-D233</f>
        <v>0</v>
      </c>
      <c r="G233" s="3"/>
      <c r="H233" s="326"/>
    </row>
    <row r="234" spans="1:8" ht="31.5" x14ac:dyDescent="0.25">
      <c r="A234" s="112">
        <v>12</v>
      </c>
      <c r="B234" s="8" t="s">
        <v>55</v>
      </c>
      <c r="C234" s="250">
        <f>C235+C242+C253+C266</f>
        <v>59065.63</v>
      </c>
      <c r="D234" s="250">
        <f t="shared" ref="D234" si="56">D235+D242+D253+D266</f>
        <v>58981.95</v>
      </c>
      <c r="E234" s="251">
        <f>D234/C234*100</f>
        <v>99.858327084634496</v>
      </c>
      <c r="F234" s="145">
        <f>SUM(F235+F242+F252+F264)</f>
        <v>83.679999999998472</v>
      </c>
      <c r="G234" s="734"/>
      <c r="H234" s="20" t="s">
        <v>1031</v>
      </c>
    </row>
    <row r="235" spans="1:8" x14ac:dyDescent="0.25">
      <c r="A235" s="711"/>
      <c r="B235" s="252" t="s">
        <v>783</v>
      </c>
      <c r="C235" s="253">
        <f>C236+C237+C241</f>
        <v>11330.11</v>
      </c>
      <c r="D235" s="253">
        <f>D236+D237+D241</f>
        <v>11250.53</v>
      </c>
      <c r="E235" s="254">
        <f>D235/C235*100</f>
        <v>99.297623765347382</v>
      </c>
      <c r="F235" s="201">
        <f t="shared" ref="F235:F297" si="57">C235-D235</f>
        <v>79.579999999999927</v>
      </c>
      <c r="G235" s="430"/>
      <c r="H235" s="331"/>
    </row>
    <row r="236" spans="1:8" ht="31.5" x14ac:dyDescent="0.25">
      <c r="A236" s="711"/>
      <c r="B236" s="255" t="s">
        <v>979</v>
      </c>
      <c r="C236" s="256">
        <v>10841.11</v>
      </c>
      <c r="D236" s="256">
        <v>10761.53</v>
      </c>
      <c r="E236" s="257">
        <f>D236/C236*100</f>
        <v>99.265942325094016</v>
      </c>
      <c r="F236" s="208">
        <f t="shared" si="57"/>
        <v>79.579999999999927</v>
      </c>
      <c r="G236" s="87" t="s">
        <v>1079</v>
      </c>
      <c r="H236" s="331"/>
    </row>
    <row r="237" spans="1:8" x14ac:dyDescent="0.25">
      <c r="A237" s="711"/>
      <c r="B237" s="255" t="s">
        <v>980</v>
      </c>
      <c r="C237" s="258">
        <f>SUM(C238:C240)</f>
        <v>60</v>
      </c>
      <c r="D237" s="258">
        <f>SUM(D238:D240)</f>
        <v>60</v>
      </c>
      <c r="E237" s="257">
        <f>D237/C237*100</f>
        <v>100</v>
      </c>
      <c r="F237" s="208">
        <f t="shared" si="57"/>
        <v>0</v>
      </c>
      <c r="G237" s="144"/>
      <c r="H237" s="331"/>
    </row>
    <row r="238" spans="1:8" x14ac:dyDescent="0.25">
      <c r="A238" s="711"/>
      <c r="B238" s="104" t="s">
        <v>784</v>
      </c>
      <c r="C238" s="259">
        <v>60</v>
      </c>
      <c r="D238" s="259">
        <v>60</v>
      </c>
      <c r="E238" s="260">
        <f t="shared" ref="E238:E265" si="58">D238/C238*100</f>
        <v>100</v>
      </c>
      <c r="F238" s="199">
        <f t="shared" si="57"/>
        <v>0</v>
      </c>
      <c r="G238" s="144"/>
      <c r="H238" s="331"/>
    </row>
    <row r="239" spans="1:8" x14ac:dyDescent="0.25">
      <c r="A239" s="711"/>
      <c r="B239" s="104" t="s">
        <v>785</v>
      </c>
      <c r="C239" s="259">
        <v>0</v>
      </c>
      <c r="D239" s="259">
        <v>0</v>
      </c>
      <c r="E239" s="260">
        <v>0</v>
      </c>
      <c r="F239" s="199">
        <f t="shared" si="57"/>
        <v>0</v>
      </c>
      <c r="G239" s="144"/>
      <c r="H239" s="331"/>
    </row>
    <row r="240" spans="1:8" hidden="1" x14ac:dyDescent="0.25">
      <c r="A240" s="711"/>
      <c r="B240" s="104" t="s">
        <v>786</v>
      </c>
      <c r="C240" s="259">
        <v>0</v>
      </c>
      <c r="D240" s="259">
        <v>0</v>
      </c>
      <c r="E240" s="260"/>
      <c r="F240" s="199">
        <f t="shared" si="57"/>
        <v>0</v>
      </c>
      <c r="G240" s="144"/>
      <c r="H240" s="331"/>
    </row>
    <row r="241" spans="1:8" x14ac:dyDescent="0.25">
      <c r="A241" s="711"/>
      <c r="B241" s="261" t="s">
        <v>788</v>
      </c>
      <c r="C241" s="256">
        <v>429</v>
      </c>
      <c r="D241" s="256">
        <v>429</v>
      </c>
      <c r="E241" s="257">
        <f t="shared" si="58"/>
        <v>100</v>
      </c>
      <c r="F241" s="208">
        <f t="shared" si="57"/>
        <v>0</v>
      </c>
      <c r="G241" s="144"/>
      <c r="H241" s="331"/>
    </row>
    <row r="242" spans="1:8" ht="31.5" x14ac:dyDescent="0.25">
      <c r="A242" s="711"/>
      <c r="B242" s="252" t="s">
        <v>981</v>
      </c>
      <c r="C242" s="253">
        <f>C243+C246+C249+C250</f>
        <v>19966.239999999998</v>
      </c>
      <c r="D242" s="253">
        <f>D243+D246+D249+D250</f>
        <v>19962.14</v>
      </c>
      <c r="E242" s="254">
        <f t="shared" si="58"/>
        <v>99.9794653374897</v>
      </c>
      <c r="F242" s="201">
        <f>C242-D242</f>
        <v>4.0999999999985448</v>
      </c>
      <c r="G242" s="144"/>
      <c r="H242" s="331"/>
    </row>
    <row r="243" spans="1:8" ht="47.25" x14ac:dyDescent="0.25">
      <c r="A243" s="711"/>
      <c r="B243" s="255" t="s">
        <v>982</v>
      </c>
      <c r="C243" s="256">
        <f>SUM(C244:C245)</f>
        <v>18088.739999999998</v>
      </c>
      <c r="D243" s="256">
        <f>SUM(D244:D245)</f>
        <v>18084.64</v>
      </c>
      <c r="E243" s="435">
        <f>D243/C243*100</f>
        <v>99.977333965770981</v>
      </c>
      <c r="F243" s="208">
        <f>C243-D243</f>
        <v>4.0999999999985448</v>
      </c>
      <c r="G243" s="87" t="s">
        <v>1078</v>
      </c>
      <c r="H243" s="331"/>
    </row>
    <row r="244" spans="1:8" x14ac:dyDescent="0.25">
      <c r="A244" s="711"/>
      <c r="B244" s="104" t="s">
        <v>789</v>
      </c>
      <c r="C244" s="377">
        <v>17408.939999999999</v>
      </c>
      <c r="D244" s="377">
        <v>17408.939999999999</v>
      </c>
      <c r="E244" s="260">
        <f>D244/C244*100</f>
        <v>100</v>
      </c>
      <c r="F244" s="199">
        <f t="shared" si="57"/>
        <v>0</v>
      </c>
      <c r="G244" s="711" t="s">
        <v>940</v>
      </c>
      <c r="H244" s="331"/>
    </row>
    <row r="245" spans="1:8" x14ac:dyDescent="0.25">
      <c r="A245" s="711"/>
      <c r="B245" s="104" t="s">
        <v>790</v>
      </c>
      <c r="C245" s="259">
        <v>679.8</v>
      </c>
      <c r="D245" s="259">
        <v>675.7</v>
      </c>
      <c r="E245" s="257">
        <f>D245/C245*100</f>
        <v>99.396881435716395</v>
      </c>
      <c r="F245" s="199">
        <f t="shared" si="57"/>
        <v>4.0999999999999091</v>
      </c>
      <c r="G245" s="144"/>
      <c r="H245" s="331"/>
    </row>
    <row r="246" spans="1:8" x14ac:dyDescent="0.25">
      <c r="A246" s="711"/>
      <c r="B246" s="102" t="s">
        <v>983</v>
      </c>
      <c r="C246" s="70">
        <f>SUM(C247:C248)</f>
        <v>0</v>
      </c>
      <c r="D246" s="70">
        <f>SUM(D247:D248)</f>
        <v>0</v>
      </c>
      <c r="E246" s="260">
        <v>0</v>
      </c>
      <c r="F246" s="199">
        <f t="shared" si="57"/>
        <v>0</v>
      </c>
      <c r="G246" s="144"/>
      <c r="H246" s="331"/>
    </row>
    <row r="247" spans="1:8" x14ac:dyDescent="0.25">
      <c r="A247" s="711"/>
      <c r="B247" s="104" t="s">
        <v>791</v>
      </c>
      <c r="C247" s="259">
        <v>0</v>
      </c>
      <c r="D247" s="259">
        <v>0</v>
      </c>
      <c r="E247" s="260">
        <v>0</v>
      </c>
      <c r="F247" s="199">
        <f t="shared" si="57"/>
        <v>0</v>
      </c>
      <c r="G247" s="144"/>
      <c r="H247" s="331"/>
    </row>
    <row r="248" spans="1:8" x14ac:dyDescent="0.25">
      <c r="A248" s="711"/>
      <c r="B248" s="104" t="s">
        <v>792</v>
      </c>
      <c r="C248" s="259">
        <v>0</v>
      </c>
      <c r="D248" s="259">
        <v>0</v>
      </c>
      <c r="E248" s="260">
        <v>0</v>
      </c>
      <c r="F248" s="199">
        <f t="shared" si="57"/>
        <v>0</v>
      </c>
      <c r="G248" s="144"/>
      <c r="H248" s="331"/>
    </row>
    <row r="249" spans="1:8" x14ac:dyDescent="0.25">
      <c r="A249" s="711"/>
      <c r="B249" s="262" t="s">
        <v>984</v>
      </c>
      <c r="C249" s="263">
        <v>255</v>
      </c>
      <c r="D249" s="263">
        <v>255</v>
      </c>
      <c r="E249" s="257">
        <f t="shared" si="58"/>
        <v>100</v>
      </c>
      <c r="F249" s="199">
        <f t="shared" si="57"/>
        <v>0</v>
      </c>
      <c r="G249" s="711" t="s">
        <v>940</v>
      </c>
      <c r="H249" s="331"/>
    </row>
    <row r="250" spans="1:8" x14ac:dyDescent="0.25">
      <c r="A250" s="711"/>
      <c r="B250" s="264" t="s">
        <v>985</v>
      </c>
      <c r="C250" s="265">
        <f>SUM(C251:C252)</f>
        <v>1622.5</v>
      </c>
      <c r="D250" s="265">
        <f>SUM(D251:D252)</f>
        <v>1622.5</v>
      </c>
      <c r="E250" s="257">
        <f t="shared" si="58"/>
        <v>100</v>
      </c>
      <c r="F250" s="208">
        <f t="shared" si="57"/>
        <v>0</v>
      </c>
      <c r="G250" s="711" t="s">
        <v>940</v>
      </c>
      <c r="H250" s="331"/>
    </row>
    <row r="251" spans="1:8" x14ac:dyDescent="0.25">
      <c r="A251" s="711"/>
      <c r="B251" s="262" t="s">
        <v>986</v>
      </c>
      <c r="C251" s="263">
        <v>1122.5</v>
      </c>
      <c r="D251" s="263">
        <v>1122.5</v>
      </c>
      <c r="E251" s="260">
        <f t="shared" si="58"/>
        <v>100</v>
      </c>
      <c r="F251" s="199">
        <f t="shared" si="57"/>
        <v>0</v>
      </c>
      <c r="G251" s="711" t="s">
        <v>940</v>
      </c>
      <c r="H251" s="331"/>
    </row>
    <row r="252" spans="1:8" x14ac:dyDescent="0.25">
      <c r="A252" s="711"/>
      <c r="B252" s="104" t="s">
        <v>987</v>
      </c>
      <c r="C252" s="259">
        <v>500</v>
      </c>
      <c r="D252" s="259">
        <v>500</v>
      </c>
      <c r="E252" s="260">
        <f t="shared" si="58"/>
        <v>100</v>
      </c>
      <c r="F252" s="199">
        <f t="shared" si="57"/>
        <v>0</v>
      </c>
      <c r="G252" s="711" t="s">
        <v>940</v>
      </c>
      <c r="H252" s="331"/>
    </row>
    <row r="253" spans="1:8" ht="31.5" x14ac:dyDescent="0.25">
      <c r="A253" s="711"/>
      <c r="B253" s="252" t="s">
        <v>793</v>
      </c>
      <c r="C253" s="266">
        <f>C265+C262+C257+C254</f>
        <v>27769.279999999999</v>
      </c>
      <c r="D253" s="266">
        <f>D265+D262+D257+D254</f>
        <v>27769.279999999999</v>
      </c>
      <c r="E253" s="254">
        <f t="shared" si="58"/>
        <v>100</v>
      </c>
      <c r="F253" s="201">
        <f t="shared" si="57"/>
        <v>0</v>
      </c>
      <c r="G253" s="711" t="s">
        <v>940</v>
      </c>
      <c r="H253" s="331"/>
    </row>
    <row r="254" spans="1:8" x14ac:dyDescent="0.25">
      <c r="A254" s="711"/>
      <c r="B254" s="255" t="s">
        <v>988</v>
      </c>
      <c r="C254" s="256">
        <f>SUM(C255:C256)</f>
        <v>27614.28</v>
      </c>
      <c r="D254" s="256">
        <f>SUM(D255:D256)</f>
        <v>27614.28</v>
      </c>
      <c r="E254" s="257">
        <f t="shared" si="58"/>
        <v>100</v>
      </c>
      <c r="F254" s="208">
        <f t="shared" si="57"/>
        <v>0</v>
      </c>
      <c r="G254" s="711" t="s">
        <v>940</v>
      </c>
      <c r="H254" s="331"/>
    </row>
    <row r="255" spans="1:8" x14ac:dyDescent="0.25">
      <c r="A255" s="711"/>
      <c r="B255" s="104" t="s">
        <v>794</v>
      </c>
      <c r="C255" s="259">
        <v>27047.48</v>
      </c>
      <c r="D255" s="259">
        <v>27047.48</v>
      </c>
      <c r="E255" s="260">
        <f t="shared" si="58"/>
        <v>100</v>
      </c>
      <c r="F255" s="199">
        <f t="shared" si="57"/>
        <v>0</v>
      </c>
      <c r="G255" s="711" t="s">
        <v>940</v>
      </c>
      <c r="H255" s="331"/>
    </row>
    <row r="256" spans="1:8" x14ac:dyDescent="0.25">
      <c r="A256" s="711"/>
      <c r="B256" s="104" t="s">
        <v>795</v>
      </c>
      <c r="C256" s="259">
        <v>566.79999999999995</v>
      </c>
      <c r="D256" s="259">
        <v>566.79999999999995</v>
      </c>
      <c r="E256" s="260">
        <f t="shared" si="58"/>
        <v>100</v>
      </c>
      <c r="F256" s="199">
        <f t="shared" si="57"/>
        <v>0</v>
      </c>
      <c r="G256" s="711" t="s">
        <v>940</v>
      </c>
      <c r="H256" s="331"/>
    </row>
    <row r="257" spans="1:8" hidden="1" x14ac:dyDescent="0.25">
      <c r="A257" s="711"/>
      <c r="B257" s="262" t="s">
        <v>989</v>
      </c>
      <c r="C257" s="70">
        <f>SUM(C258:C260)</f>
        <v>0</v>
      </c>
      <c r="D257" s="70">
        <f>SUM(D258:D260)</f>
        <v>0</v>
      </c>
      <c r="E257" s="260"/>
      <c r="F257" s="199">
        <f t="shared" si="57"/>
        <v>0</v>
      </c>
      <c r="G257" s="711" t="s">
        <v>940</v>
      </c>
      <c r="H257" s="331"/>
    </row>
    <row r="258" spans="1:8" hidden="1" x14ac:dyDescent="0.25">
      <c r="A258" s="711"/>
      <c r="B258" s="102" t="s">
        <v>796</v>
      </c>
      <c r="C258" s="263">
        <v>0</v>
      </c>
      <c r="D258" s="263">
        <v>0</v>
      </c>
      <c r="E258" s="260"/>
      <c r="F258" s="199">
        <f t="shared" si="57"/>
        <v>0</v>
      </c>
      <c r="G258" s="711" t="s">
        <v>940</v>
      </c>
      <c r="H258" s="331"/>
    </row>
    <row r="259" spans="1:8" hidden="1" x14ac:dyDescent="0.25">
      <c r="A259" s="711"/>
      <c r="B259" s="102" t="s">
        <v>990</v>
      </c>
      <c r="C259" s="263">
        <v>0</v>
      </c>
      <c r="D259" s="263">
        <v>0</v>
      </c>
      <c r="E259" s="260"/>
      <c r="F259" s="199">
        <f t="shared" si="57"/>
        <v>0</v>
      </c>
      <c r="G259" s="711" t="s">
        <v>940</v>
      </c>
      <c r="H259" s="331"/>
    </row>
    <row r="260" spans="1:8" hidden="1" x14ac:dyDescent="0.25">
      <c r="A260" s="711"/>
      <c r="B260" s="102" t="s">
        <v>991</v>
      </c>
      <c r="C260" s="70">
        <f>C261</f>
        <v>0</v>
      </c>
      <c r="D260" s="70">
        <f>D261</f>
        <v>0</v>
      </c>
      <c r="E260" s="260"/>
      <c r="F260" s="199">
        <f t="shared" si="57"/>
        <v>0</v>
      </c>
      <c r="G260" s="711" t="s">
        <v>940</v>
      </c>
      <c r="H260" s="331"/>
    </row>
    <row r="261" spans="1:8" hidden="1" x14ac:dyDescent="0.25">
      <c r="A261" s="711"/>
      <c r="B261" s="44" t="s">
        <v>797</v>
      </c>
      <c r="C261" s="267">
        <v>0</v>
      </c>
      <c r="D261" s="267">
        <v>0</v>
      </c>
      <c r="E261" s="260"/>
      <c r="F261" s="199">
        <f t="shared" si="57"/>
        <v>0</v>
      </c>
      <c r="G261" s="711" t="s">
        <v>940</v>
      </c>
      <c r="H261" s="331"/>
    </row>
    <row r="262" spans="1:8" hidden="1" x14ac:dyDescent="0.25">
      <c r="A262" s="711"/>
      <c r="B262" s="102" t="s">
        <v>992</v>
      </c>
      <c r="C262" s="70">
        <f>SUM(C263:C264)</f>
        <v>0</v>
      </c>
      <c r="D262" s="70">
        <f>SUM(D263:D264)</f>
        <v>0</v>
      </c>
      <c r="E262" s="260"/>
      <c r="F262" s="199">
        <f t="shared" si="57"/>
        <v>0</v>
      </c>
      <c r="G262" s="711" t="s">
        <v>940</v>
      </c>
      <c r="H262" s="331"/>
    </row>
    <row r="263" spans="1:8" hidden="1" x14ac:dyDescent="0.25">
      <c r="A263" s="711"/>
      <c r="B263" s="102" t="s">
        <v>798</v>
      </c>
      <c r="C263" s="263">
        <v>0</v>
      </c>
      <c r="D263" s="263">
        <v>0</v>
      </c>
      <c r="E263" s="260"/>
      <c r="F263" s="199">
        <f t="shared" si="57"/>
        <v>0</v>
      </c>
      <c r="G263" s="711" t="s">
        <v>940</v>
      </c>
      <c r="H263" s="331"/>
    </row>
    <row r="264" spans="1:8" hidden="1" x14ac:dyDescent="0.25">
      <c r="A264" s="188"/>
      <c r="B264" s="102" t="s">
        <v>799</v>
      </c>
      <c r="C264" s="263">
        <v>0</v>
      </c>
      <c r="D264" s="263">
        <v>0</v>
      </c>
      <c r="E264" s="260"/>
      <c r="F264" s="199">
        <f t="shared" si="57"/>
        <v>0</v>
      </c>
      <c r="G264" s="711" t="s">
        <v>940</v>
      </c>
      <c r="H264" s="328"/>
    </row>
    <row r="265" spans="1:8" x14ac:dyDescent="0.25">
      <c r="A265" s="200"/>
      <c r="B265" s="268" t="s">
        <v>993</v>
      </c>
      <c r="C265" s="256">
        <v>155</v>
      </c>
      <c r="D265" s="256">
        <v>155</v>
      </c>
      <c r="E265" s="257">
        <f t="shared" si="58"/>
        <v>100</v>
      </c>
      <c r="F265" s="208">
        <v>0</v>
      </c>
      <c r="G265" s="711" t="s">
        <v>940</v>
      </c>
      <c r="H265" s="331"/>
    </row>
    <row r="266" spans="1:8" ht="36" customHeight="1" x14ac:dyDescent="0.25">
      <c r="A266" s="217"/>
      <c r="B266" s="252" t="s">
        <v>801</v>
      </c>
      <c r="C266" s="266">
        <f>SUM(C269:C271)+C267</f>
        <v>0</v>
      </c>
      <c r="D266" s="266">
        <f>SUM(D269:D271)+D267</f>
        <v>0</v>
      </c>
      <c r="E266" s="254">
        <v>0</v>
      </c>
      <c r="F266" s="201">
        <f t="shared" si="57"/>
        <v>0</v>
      </c>
      <c r="G266" s="144"/>
      <c r="H266" s="328"/>
    </row>
    <row r="267" spans="1:8" x14ac:dyDescent="0.25">
      <c r="A267" s="217"/>
      <c r="B267" s="262" t="s">
        <v>800</v>
      </c>
      <c r="C267" s="70">
        <f>C268</f>
        <v>0</v>
      </c>
      <c r="D267" s="70">
        <f>D268</f>
        <v>0</v>
      </c>
      <c r="E267" s="260">
        <v>0</v>
      </c>
      <c r="F267" s="199">
        <f t="shared" si="57"/>
        <v>0</v>
      </c>
      <c r="G267" s="144"/>
      <c r="H267" s="328"/>
    </row>
    <row r="268" spans="1:8" x14ac:dyDescent="0.25">
      <c r="A268" s="217"/>
      <c r="B268" s="104" t="s">
        <v>800</v>
      </c>
      <c r="C268" s="259">
        <v>0</v>
      </c>
      <c r="D268" s="259">
        <v>0</v>
      </c>
      <c r="E268" s="260">
        <v>0</v>
      </c>
      <c r="F268" s="199">
        <f t="shared" si="57"/>
        <v>0</v>
      </c>
      <c r="G268" s="144"/>
      <c r="H268" s="328"/>
    </row>
    <row r="269" spans="1:8" x14ac:dyDescent="0.25">
      <c r="A269" s="217"/>
      <c r="B269" s="262" t="s">
        <v>994</v>
      </c>
      <c r="C269" s="263">
        <v>0</v>
      </c>
      <c r="D269" s="263">
        <v>0</v>
      </c>
      <c r="E269" s="260">
        <v>0</v>
      </c>
      <c r="F269" s="199">
        <f t="shared" si="57"/>
        <v>0</v>
      </c>
      <c r="G269" s="144"/>
      <c r="H269" s="328"/>
    </row>
    <row r="270" spans="1:8" x14ac:dyDescent="0.25">
      <c r="A270" s="217"/>
      <c r="B270" s="262" t="s">
        <v>995</v>
      </c>
      <c r="C270" s="263">
        <v>0</v>
      </c>
      <c r="D270" s="263">
        <v>0</v>
      </c>
      <c r="E270" s="260">
        <v>0</v>
      </c>
      <c r="F270" s="199">
        <f t="shared" si="57"/>
        <v>0</v>
      </c>
      <c r="G270" s="144"/>
      <c r="H270" s="328"/>
    </row>
    <row r="271" spans="1:8" ht="15" customHeight="1" x14ac:dyDescent="0.25">
      <c r="A271" s="217"/>
      <c r="B271" s="262" t="s">
        <v>996</v>
      </c>
      <c r="C271" s="263">
        <v>0</v>
      </c>
      <c r="D271" s="263">
        <v>0</v>
      </c>
      <c r="E271" s="260">
        <v>0</v>
      </c>
      <c r="F271" s="199">
        <f t="shared" si="57"/>
        <v>0</v>
      </c>
      <c r="G271" s="144"/>
      <c r="H271" s="328"/>
    </row>
    <row r="272" spans="1:8" ht="31.5" x14ac:dyDescent="0.25">
      <c r="A272" s="19">
        <v>13</v>
      </c>
      <c r="B272" s="146" t="s">
        <v>1010</v>
      </c>
      <c r="C272" s="181">
        <f>C273+C289+C309+C320+C325+C337+C342+C347+C352+C356</f>
        <v>9910.0848100000003</v>
      </c>
      <c r="D272" s="181">
        <f t="shared" ref="D272" si="59">D273+D289+D309+D320+D325+D337+D342+D347+D352+D356</f>
        <v>9617.7378099999987</v>
      </c>
      <c r="E272" s="741">
        <f t="shared" ref="E272:E335" si="60">SUM(D272/C272*100)</f>
        <v>97.050005064487422</v>
      </c>
      <c r="F272" s="742">
        <f t="shared" si="57"/>
        <v>292.34700000000157</v>
      </c>
      <c r="G272" s="23"/>
      <c r="H272" s="20" t="s">
        <v>997</v>
      </c>
    </row>
    <row r="273" spans="1:8" x14ac:dyDescent="0.25">
      <c r="A273" s="217"/>
      <c r="B273" s="269" t="s">
        <v>205</v>
      </c>
      <c r="C273" s="738">
        <f>C274+C280+C284</f>
        <v>960.26199999999994</v>
      </c>
      <c r="D273" s="738">
        <f>D274+D280+D284</f>
        <v>950</v>
      </c>
      <c r="E273" s="739">
        <f t="shared" si="60"/>
        <v>98.931333323613771</v>
      </c>
      <c r="F273" s="740">
        <f t="shared" si="57"/>
        <v>10.261999999999944</v>
      </c>
      <c r="G273" s="711" t="s">
        <v>940</v>
      </c>
      <c r="H273" s="331"/>
    </row>
    <row r="274" spans="1:8" ht="47.25" customHeight="1" x14ac:dyDescent="0.25">
      <c r="A274" s="217"/>
      <c r="B274" s="148" t="s">
        <v>206</v>
      </c>
      <c r="C274" s="272">
        <f t="shared" ref="C274:D274" si="61">SUM(C275:C279)</f>
        <v>960.26199999999994</v>
      </c>
      <c r="D274" s="272">
        <f t="shared" si="61"/>
        <v>950</v>
      </c>
      <c r="E274" s="273">
        <f t="shared" si="60"/>
        <v>98.931333323613771</v>
      </c>
      <c r="F274" s="274">
        <f t="shared" si="57"/>
        <v>10.261999999999944</v>
      </c>
      <c r="G274" s="711" t="s">
        <v>940</v>
      </c>
      <c r="H274" s="918" t="s">
        <v>1084</v>
      </c>
    </row>
    <row r="275" spans="1:8" ht="194.25" customHeight="1" x14ac:dyDescent="0.25">
      <c r="A275" s="217"/>
      <c r="B275" s="149" t="s">
        <v>207</v>
      </c>
      <c r="C275" s="160">
        <v>960.26199999999994</v>
      </c>
      <c r="D275" s="160">
        <v>950</v>
      </c>
      <c r="E275" s="276">
        <f t="shared" si="60"/>
        <v>98.931333323613771</v>
      </c>
      <c r="F275" s="207">
        <f t="shared" si="57"/>
        <v>10.261999999999944</v>
      </c>
      <c r="G275" s="711" t="s">
        <v>940</v>
      </c>
      <c r="H275" s="919"/>
    </row>
    <row r="276" spans="1:8" ht="15.75" hidden="1" customHeight="1" x14ac:dyDescent="0.25">
      <c r="A276" s="217"/>
      <c r="B276" s="149" t="s">
        <v>208</v>
      </c>
      <c r="C276" s="277"/>
      <c r="D276" s="277"/>
      <c r="E276" s="276"/>
      <c r="F276" s="207"/>
      <c r="G276" s="711" t="s">
        <v>940</v>
      </c>
      <c r="H276" s="331"/>
    </row>
    <row r="277" spans="1:8" ht="15.75" hidden="1" customHeight="1" x14ac:dyDescent="0.25">
      <c r="A277" s="217"/>
      <c r="B277" s="149" t="s">
        <v>209</v>
      </c>
      <c r="C277" s="277"/>
      <c r="D277" s="277">
        <v>0</v>
      </c>
      <c r="E277" s="276"/>
      <c r="F277" s="207"/>
      <c r="G277" s="711" t="s">
        <v>940</v>
      </c>
      <c r="H277" s="331"/>
    </row>
    <row r="278" spans="1:8" ht="15.75" hidden="1" customHeight="1" x14ac:dyDescent="0.25">
      <c r="A278" s="217"/>
      <c r="B278" s="149" t="s">
        <v>210</v>
      </c>
      <c r="C278" s="277"/>
      <c r="D278" s="277"/>
      <c r="E278" s="276"/>
      <c r="F278" s="207"/>
      <c r="G278" s="711" t="s">
        <v>940</v>
      </c>
      <c r="H278" s="331"/>
    </row>
    <row r="279" spans="1:8" ht="15.75" hidden="1" customHeight="1" x14ac:dyDescent="0.25">
      <c r="A279" s="217"/>
      <c r="B279" s="149" t="s">
        <v>211</v>
      </c>
      <c r="C279" s="277"/>
      <c r="D279" s="277"/>
      <c r="E279" s="276"/>
      <c r="F279" s="207"/>
      <c r="G279" s="711" t="s">
        <v>940</v>
      </c>
      <c r="H279" s="331"/>
    </row>
    <row r="280" spans="1:8" ht="15.75" hidden="1" customHeight="1" x14ac:dyDescent="0.25">
      <c r="A280" s="217"/>
      <c r="B280" s="148" t="s">
        <v>212</v>
      </c>
      <c r="C280" s="277">
        <f>SUM(C281:C283)</f>
        <v>0</v>
      </c>
      <c r="D280" s="277">
        <f>SUM(D281:D283)</f>
        <v>0</v>
      </c>
      <c r="E280" s="276"/>
      <c r="F280" s="207"/>
      <c r="G280" s="711" t="s">
        <v>940</v>
      </c>
      <c r="H280" s="331"/>
    </row>
    <row r="281" spans="1:8" ht="15.75" hidden="1" customHeight="1" x14ac:dyDescent="0.25">
      <c r="A281" s="217"/>
      <c r="B281" s="149" t="s">
        <v>213</v>
      </c>
      <c r="C281" s="277"/>
      <c r="D281" s="277"/>
      <c r="E281" s="276"/>
      <c r="F281" s="207"/>
      <c r="G281" s="711" t="s">
        <v>940</v>
      </c>
      <c r="H281" s="331"/>
    </row>
    <row r="282" spans="1:8" ht="15.75" hidden="1" customHeight="1" x14ac:dyDescent="0.25">
      <c r="A282" s="217"/>
      <c r="B282" s="149" t="s">
        <v>214</v>
      </c>
      <c r="C282" s="277"/>
      <c r="D282" s="277"/>
      <c r="E282" s="276"/>
      <c r="F282" s="207"/>
      <c r="G282" s="711" t="s">
        <v>940</v>
      </c>
      <c r="H282" s="331"/>
    </row>
    <row r="283" spans="1:8" ht="15.75" hidden="1" customHeight="1" x14ac:dyDescent="0.25">
      <c r="A283" s="217"/>
      <c r="B283" s="149" t="s">
        <v>215</v>
      </c>
      <c r="C283" s="277"/>
      <c r="D283" s="277">
        <v>0</v>
      </c>
      <c r="E283" s="276"/>
      <c r="F283" s="207"/>
      <c r="G283" s="711" t="s">
        <v>940</v>
      </c>
      <c r="H283" s="331"/>
    </row>
    <row r="284" spans="1:8" ht="31.5" hidden="1" customHeight="1" x14ac:dyDescent="0.25">
      <c r="A284" s="217"/>
      <c r="B284" s="148" t="s">
        <v>216</v>
      </c>
      <c r="C284" s="277">
        <f>SUM(C285:C288)</f>
        <v>0</v>
      </c>
      <c r="D284" s="277">
        <f>SUM(D285:D288)</f>
        <v>0</v>
      </c>
      <c r="E284" s="276"/>
      <c r="F284" s="207"/>
      <c r="G284" s="711" t="s">
        <v>940</v>
      </c>
      <c r="H284" s="331"/>
    </row>
    <row r="285" spans="1:8" ht="15.75" hidden="1" customHeight="1" x14ac:dyDescent="0.25">
      <c r="A285" s="217"/>
      <c r="B285" s="149" t="s">
        <v>217</v>
      </c>
      <c r="C285" s="277"/>
      <c r="D285" s="277"/>
      <c r="E285" s="276"/>
      <c r="F285" s="207"/>
      <c r="G285" s="711" t="s">
        <v>940</v>
      </c>
      <c r="H285" s="331"/>
    </row>
    <row r="286" spans="1:8" ht="15.75" hidden="1" customHeight="1" x14ac:dyDescent="0.25">
      <c r="A286" s="217"/>
      <c r="B286" s="149" t="s">
        <v>218</v>
      </c>
      <c r="C286" s="277"/>
      <c r="D286" s="277"/>
      <c r="E286" s="276"/>
      <c r="F286" s="207"/>
      <c r="G286" s="711" t="s">
        <v>940</v>
      </c>
      <c r="H286" s="331"/>
    </row>
    <row r="287" spans="1:8" ht="15.75" hidden="1" customHeight="1" x14ac:dyDescent="0.25">
      <c r="A287" s="217"/>
      <c r="B287" s="149" t="s">
        <v>219</v>
      </c>
      <c r="C287" s="277"/>
      <c r="D287" s="277"/>
      <c r="E287" s="276"/>
      <c r="F287" s="207"/>
      <c r="G287" s="711" t="s">
        <v>940</v>
      </c>
      <c r="H287" s="331"/>
    </row>
    <row r="288" spans="1:8" ht="28.5" hidden="1" customHeight="1" x14ac:dyDescent="0.25">
      <c r="A288" s="217"/>
      <c r="B288" s="149" t="s">
        <v>220</v>
      </c>
      <c r="C288" s="277"/>
      <c r="D288" s="277"/>
      <c r="E288" s="276"/>
      <c r="F288" s="207"/>
      <c r="G288" s="711" t="s">
        <v>940</v>
      </c>
      <c r="H288" s="331"/>
    </row>
    <row r="289" spans="1:8" ht="15.75" customHeight="1" x14ac:dyDescent="0.25">
      <c r="A289" s="217"/>
      <c r="B289" s="269" t="s">
        <v>221</v>
      </c>
      <c r="C289" s="278">
        <f>C290+C294+C300+C306</f>
        <v>5009.7378099999996</v>
      </c>
      <c r="D289" s="278">
        <f t="shared" ref="D289" si="62">D290+D294+D300+D303+D306</f>
        <v>5009.7378099999996</v>
      </c>
      <c r="E289" s="270">
        <f>SUM(D289/C289*100)</f>
        <v>100</v>
      </c>
      <c r="F289" s="271">
        <f t="shared" si="57"/>
        <v>0</v>
      </c>
      <c r="G289" s="711" t="s">
        <v>940</v>
      </c>
      <c r="H289" s="332"/>
    </row>
    <row r="290" spans="1:8" ht="15.75" hidden="1" customHeight="1" x14ac:dyDescent="0.25">
      <c r="A290" s="217"/>
      <c r="B290" s="148" t="s">
        <v>222</v>
      </c>
      <c r="C290" s="277">
        <f t="shared" ref="C290:D290" si="63">C291+C292+C293</f>
        <v>0</v>
      </c>
      <c r="D290" s="277">
        <f t="shared" si="63"/>
        <v>0</v>
      </c>
      <c r="E290" s="248"/>
      <c r="F290" s="199"/>
      <c r="G290" s="711" t="s">
        <v>940</v>
      </c>
      <c r="H290" s="328"/>
    </row>
    <row r="291" spans="1:8" ht="31.5" hidden="1" customHeight="1" x14ac:dyDescent="0.25">
      <c r="A291" s="217"/>
      <c r="B291" s="149" t="s">
        <v>223</v>
      </c>
      <c r="C291" s="277"/>
      <c r="D291" s="277"/>
      <c r="E291" s="248"/>
      <c r="F291" s="199"/>
      <c r="G291" s="711" t="s">
        <v>940</v>
      </c>
      <c r="H291" s="328"/>
    </row>
    <row r="292" spans="1:8" ht="15.75" hidden="1" customHeight="1" x14ac:dyDescent="0.25">
      <c r="A292" s="217"/>
      <c r="B292" s="149" t="s">
        <v>224</v>
      </c>
      <c r="C292" s="277"/>
      <c r="D292" s="277"/>
      <c r="E292" s="248"/>
      <c r="F292" s="199"/>
      <c r="G292" s="711" t="s">
        <v>940</v>
      </c>
      <c r="H292" s="328"/>
    </row>
    <row r="293" spans="1:8" ht="15.75" hidden="1" customHeight="1" x14ac:dyDescent="0.25">
      <c r="A293" s="217"/>
      <c r="B293" s="149" t="s">
        <v>225</v>
      </c>
      <c r="C293" s="277">
        <v>0</v>
      </c>
      <c r="D293" s="277">
        <v>0</v>
      </c>
      <c r="E293" s="248"/>
      <c r="F293" s="199"/>
      <c r="G293" s="711" t="s">
        <v>940</v>
      </c>
      <c r="H293" s="328"/>
    </row>
    <row r="294" spans="1:8" x14ac:dyDescent="0.25">
      <c r="A294" s="217"/>
      <c r="B294" s="279" t="s">
        <v>226</v>
      </c>
      <c r="C294" s="280">
        <f>C295+C296+C297+C298+C299</f>
        <v>5009.7378099999996</v>
      </c>
      <c r="D294" s="280">
        <f>D295+D296+D297+D298+D299</f>
        <v>5009.7378099999996</v>
      </c>
      <c r="E294" s="281">
        <f t="shared" si="60"/>
        <v>100</v>
      </c>
      <c r="F294" s="247">
        <f t="shared" si="57"/>
        <v>0</v>
      </c>
      <c r="G294" s="711" t="s">
        <v>940</v>
      </c>
      <c r="H294" s="328"/>
    </row>
    <row r="295" spans="1:8" x14ac:dyDescent="0.25">
      <c r="A295" s="217"/>
      <c r="B295" s="149" t="s">
        <v>227</v>
      </c>
      <c r="C295" s="277">
        <v>1455</v>
      </c>
      <c r="D295" s="277">
        <v>1455</v>
      </c>
      <c r="E295" s="248">
        <f t="shared" si="60"/>
        <v>100</v>
      </c>
      <c r="F295" s="199">
        <f t="shared" si="57"/>
        <v>0</v>
      </c>
      <c r="G295" s="711" t="s">
        <v>940</v>
      </c>
      <c r="H295" s="328"/>
    </row>
    <row r="296" spans="1:8" ht="31.5" x14ac:dyDescent="0.25">
      <c r="A296" s="217"/>
      <c r="B296" s="149" t="s">
        <v>228</v>
      </c>
      <c r="C296" s="277">
        <v>1625</v>
      </c>
      <c r="D296" s="277">
        <v>1625</v>
      </c>
      <c r="E296" s="248">
        <f>SUM(D296/C296*100)</f>
        <v>100</v>
      </c>
      <c r="F296" s="199">
        <f t="shared" si="57"/>
        <v>0</v>
      </c>
      <c r="G296" s="711" t="s">
        <v>940</v>
      </c>
      <c r="H296" s="328"/>
    </row>
    <row r="297" spans="1:8" x14ac:dyDescent="0.25">
      <c r="A297" s="217"/>
      <c r="B297" s="149" t="s">
        <v>229</v>
      </c>
      <c r="C297" s="277">
        <v>1920</v>
      </c>
      <c r="D297" s="277">
        <v>1920</v>
      </c>
      <c r="E297" s="248">
        <f t="shared" si="60"/>
        <v>100</v>
      </c>
      <c r="F297" s="199">
        <f t="shared" si="57"/>
        <v>0</v>
      </c>
      <c r="G297" s="711" t="s">
        <v>940</v>
      </c>
      <c r="H297" s="328"/>
    </row>
    <row r="298" spans="1:8" ht="15.75" hidden="1" customHeight="1" x14ac:dyDescent="0.25">
      <c r="A298" s="217"/>
      <c r="B298" s="149" t="s">
        <v>230</v>
      </c>
      <c r="C298" s="277"/>
      <c r="D298" s="277"/>
      <c r="E298" s="248"/>
      <c r="F298" s="199"/>
      <c r="G298" s="711" t="s">
        <v>940</v>
      </c>
      <c r="H298" s="328"/>
    </row>
    <row r="299" spans="1:8" x14ac:dyDescent="0.25">
      <c r="A299" s="217"/>
      <c r="B299" s="149" t="s">
        <v>231</v>
      </c>
      <c r="C299" s="277">
        <v>9.7378099999999996</v>
      </c>
      <c r="D299" s="277">
        <v>9.7378099999999996</v>
      </c>
      <c r="E299" s="248">
        <f t="shared" si="60"/>
        <v>100</v>
      </c>
      <c r="F299" s="199">
        <f t="shared" ref="F299:F325" si="64">C299-D299</f>
        <v>0</v>
      </c>
      <c r="G299" s="711" t="s">
        <v>940</v>
      </c>
      <c r="H299" s="328"/>
    </row>
    <row r="300" spans="1:8" ht="15.75" hidden="1" customHeight="1" x14ac:dyDescent="0.25">
      <c r="A300" s="217"/>
      <c r="B300" s="148" t="s">
        <v>232</v>
      </c>
      <c r="C300" s="277"/>
      <c r="D300" s="277"/>
      <c r="E300" s="276"/>
      <c r="F300" s="207"/>
      <c r="G300" s="711" t="s">
        <v>940</v>
      </c>
      <c r="H300" s="331"/>
    </row>
    <row r="301" spans="1:8" ht="15.75" hidden="1" customHeight="1" x14ac:dyDescent="0.25">
      <c r="A301" s="217"/>
      <c r="B301" s="149" t="s">
        <v>233</v>
      </c>
      <c r="C301" s="277"/>
      <c r="D301" s="277"/>
      <c r="E301" s="276"/>
      <c r="F301" s="207"/>
      <c r="G301" s="711" t="s">
        <v>940</v>
      </c>
      <c r="H301" s="331"/>
    </row>
    <row r="302" spans="1:8" ht="15.75" hidden="1" customHeight="1" x14ac:dyDescent="0.25">
      <c r="A302" s="217"/>
      <c r="B302" s="149" t="s">
        <v>234</v>
      </c>
      <c r="C302" s="277">
        <v>0</v>
      </c>
      <c r="D302" s="277">
        <v>0</v>
      </c>
      <c r="E302" s="276"/>
      <c r="F302" s="207"/>
      <c r="G302" s="711" t="s">
        <v>940</v>
      </c>
      <c r="H302" s="331"/>
    </row>
    <row r="303" spans="1:8" ht="15.75" hidden="1" customHeight="1" x14ac:dyDescent="0.25">
      <c r="A303" s="217"/>
      <c r="B303" s="148" t="s">
        <v>235</v>
      </c>
      <c r="C303" s="277">
        <f>SUM(C304:C305)</f>
        <v>0</v>
      </c>
      <c r="D303" s="277">
        <f t="shared" ref="D303" si="65">SUM(D304:D305)</f>
        <v>0</v>
      </c>
      <c r="E303" s="276"/>
      <c r="F303" s="207"/>
      <c r="G303" s="711" t="s">
        <v>940</v>
      </c>
      <c r="H303" s="331"/>
    </row>
    <row r="304" spans="1:8" ht="15.75" hidden="1" customHeight="1" x14ac:dyDescent="0.25">
      <c r="A304" s="217"/>
      <c r="B304" s="149" t="s">
        <v>236</v>
      </c>
      <c r="C304" s="277">
        <v>0</v>
      </c>
      <c r="D304" s="277">
        <v>0</v>
      </c>
      <c r="E304" s="276"/>
      <c r="F304" s="207"/>
      <c r="G304" s="711" t="s">
        <v>940</v>
      </c>
      <c r="H304" s="332"/>
    </row>
    <row r="305" spans="1:8" ht="15.75" hidden="1" customHeight="1" x14ac:dyDescent="0.25">
      <c r="A305" s="217"/>
      <c r="B305" s="149" t="s">
        <v>237</v>
      </c>
      <c r="C305" s="277"/>
      <c r="D305" s="277">
        <f t="shared" ref="D305" si="66">D307+D308</f>
        <v>0</v>
      </c>
      <c r="E305" s="276"/>
      <c r="F305" s="207"/>
      <c r="G305" s="711" t="s">
        <v>940</v>
      </c>
      <c r="H305" s="331"/>
    </row>
    <row r="306" spans="1:8" ht="15.75" hidden="1" customHeight="1" x14ac:dyDescent="0.25">
      <c r="A306" s="217"/>
      <c r="B306" s="148" t="s">
        <v>238</v>
      </c>
      <c r="C306" s="277">
        <f t="shared" ref="C306:D306" si="67">C307+C308</f>
        <v>0</v>
      </c>
      <c r="D306" s="277">
        <f t="shared" si="67"/>
        <v>0</v>
      </c>
      <c r="E306" s="276"/>
      <c r="F306" s="207"/>
      <c r="G306" s="711" t="s">
        <v>940</v>
      </c>
      <c r="H306" s="331"/>
    </row>
    <row r="307" spans="1:8" ht="15.75" hidden="1" customHeight="1" x14ac:dyDescent="0.25">
      <c r="A307" s="217"/>
      <c r="B307" s="149" t="s">
        <v>239</v>
      </c>
      <c r="C307" s="277"/>
      <c r="D307" s="277"/>
      <c r="E307" s="276"/>
      <c r="F307" s="207"/>
      <c r="G307" s="711" t="s">
        <v>940</v>
      </c>
      <c r="H307" s="331"/>
    </row>
    <row r="308" spans="1:8" ht="15.75" hidden="1" customHeight="1" x14ac:dyDescent="0.25">
      <c r="A308" s="217"/>
      <c r="B308" s="150" t="s">
        <v>240</v>
      </c>
      <c r="C308" s="277"/>
      <c r="D308" s="277"/>
      <c r="E308" s="276"/>
      <c r="F308" s="207"/>
      <c r="G308" s="711" t="s">
        <v>940</v>
      </c>
      <c r="H308" s="333"/>
    </row>
    <row r="309" spans="1:8" x14ac:dyDescent="0.25">
      <c r="A309" s="217"/>
      <c r="B309" s="269" t="s">
        <v>241</v>
      </c>
      <c r="C309" s="278">
        <f>C310+C312+C314+C316+C318</f>
        <v>2370.085</v>
      </c>
      <c r="D309" s="278">
        <f t="shared" ref="D309" si="68">D310+D312+D314+D316+D318</f>
        <v>2088</v>
      </c>
      <c r="E309" s="270">
        <f t="shared" si="60"/>
        <v>88.098106186065053</v>
      </c>
      <c r="F309" s="271">
        <f t="shared" si="64"/>
        <v>282.08500000000004</v>
      </c>
      <c r="G309" s="711" t="s">
        <v>940</v>
      </c>
      <c r="H309" s="331"/>
    </row>
    <row r="310" spans="1:8" ht="15.75" hidden="1" customHeight="1" x14ac:dyDescent="0.25">
      <c r="A310" s="217"/>
      <c r="B310" s="148" t="s">
        <v>242</v>
      </c>
      <c r="C310" s="277">
        <f>C311</f>
        <v>0</v>
      </c>
      <c r="D310" s="277">
        <f>D311</f>
        <v>0</v>
      </c>
      <c r="E310" s="276"/>
      <c r="F310" s="207"/>
      <c r="G310" s="711" t="s">
        <v>940</v>
      </c>
      <c r="H310" s="331"/>
    </row>
    <row r="311" spans="1:8" ht="31.5" hidden="1" customHeight="1" x14ac:dyDescent="0.25">
      <c r="A311" s="217"/>
      <c r="B311" s="149" t="s">
        <v>243</v>
      </c>
      <c r="C311" s="277"/>
      <c r="D311" s="277"/>
      <c r="E311" s="276"/>
      <c r="F311" s="207"/>
      <c r="G311" s="711" t="s">
        <v>940</v>
      </c>
      <c r="H311" s="331"/>
    </row>
    <row r="312" spans="1:8" ht="21" customHeight="1" x14ac:dyDescent="0.25">
      <c r="A312" s="217"/>
      <c r="B312" s="148" t="s">
        <v>244</v>
      </c>
      <c r="C312" s="277">
        <f t="shared" ref="C312:D312" si="69">C313</f>
        <v>152</v>
      </c>
      <c r="D312" s="277">
        <f t="shared" si="69"/>
        <v>88</v>
      </c>
      <c r="E312" s="276">
        <f t="shared" si="60"/>
        <v>57.894736842105267</v>
      </c>
      <c r="F312" s="207">
        <f t="shared" si="64"/>
        <v>64</v>
      </c>
      <c r="G312" s="711" t="s">
        <v>940</v>
      </c>
      <c r="H312" s="918" t="s">
        <v>1085</v>
      </c>
    </row>
    <row r="313" spans="1:8" ht="126.75" customHeight="1" x14ac:dyDescent="0.25">
      <c r="A313" s="217"/>
      <c r="B313" s="149" t="s">
        <v>245</v>
      </c>
      <c r="C313" s="365">
        <v>152</v>
      </c>
      <c r="D313" s="365">
        <v>88</v>
      </c>
      <c r="E313" s="276">
        <f t="shared" si="60"/>
        <v>57.894736842105267</v>
      </c>
      <c r="F313" s="207">
        <f t="shared" si="64"/>
        <v>64</v>
      </c>
      <c r="G313" s="711" t="s">
        <v>940</v>
      </c>
      <c r="H313" s="919"/>
    </row>
    <row r="314" spans="1:8" ht="15.75" hidden="1" customHeight="1" x14ac:dyDescent="0.25">
      <c r="A314" s="217"/>
      <c r="B314" s="148" t="s">
        <v>246</v>
      </c>
      <c r="C314" s="277">
        <f t="shared" ref="C314:D314" si="70">C315</f>
        <v>0</v>
      </c>
      <c r="D314" s="277">
        <f t="shared" si="70"/>
        <v>0</v>
      </c>
      <c r="E314" s="276"/>
      <c r="F314" s="207"/>
      <c r="G314" s="711" t="s">
        <v>940</v>
      </c>
      <c r="H314" s="331"/>
    </row>
    <row r="315" spans="1:8" ht="31.5" hidden="1" customHeight="1" x14ac:dyDescent="0.25">
      <c r="A315" s="217"/>
      <c r="B315" s="149" t="s">
        <v>247</v>
      </c>
      <c r="C315" s="277"/>
      <c r="D315" s="277"/>
      <c r="E315" s="276"/>
      <c r="F315" s="207"/>
      <c r="G315" s="711" t="s">
        <v>940</v>
      </c>
      <c r="H315" s="331"/>
    </row>
    <row r="316" spans="1:8" ht="39.75" customHeight="1" x14ac:dyDescent="0.25">
      <c r="A316" s="217"/>
      <c r="B316" s="148" t="s">
        <v>248</v>
      </c>
      <c r="C316" s="160">
        <f t="shared" ref="C316:D316" si="71">C317</f>
        <v>2218.085</v>
      </c>
      <c r="D316" s="160">
        <f t="shared" si="71"/>
        <v>2000</v>
      </c>
      <c r="E316" s="276">
        <f t="shared" si="60"/>
        <v>90.167870032032141</v>
      </c>
      <c r="F316" s="207">
        <f t="shared" si="64"/>
        <v>218.08500000000004</v>
      </c>
      <c r="G316" s="711" t="s">
        <v>940</v>
      </c>
      <c r="H316" s="918" t="s">
        <v>1086</v>
      </c>
    </row>
    <row r="317" spans="1:8" ht="178.5" customHeight="1" x14ac:dyDescent="0.25">
      <c r="A317" s="217"/>
      <c r="B317" s="149" t="s">
        <v>249</v>
      </c>
      <c r="C317" s="160">
        <v>2218.085</v>
      </c>
      <c r="D317" s="160">
        <v>2000</v>
      </c>
      <c r="E317" s="276">
        <f t="shared" si="60"/>
        <v>90.167870032032141</v>
      </c>
      <c r="F317" s="207">
        <f t="shared" si="64"/>
        <v>218.08500000000004</v>
      </c>
      <c r="G317" s="711" t="s">
        <v>940</v>
      </c>
      <c r="H317" s="919"/>
    </row>
    <row r="318" spans="1:8" ht="15.75" hidden="1" customHeight="1" x14ac:dyDescent="0.25">
      <c r="A318" s="217"/>
      <c r="B318" s="148" t="s">
        <v>250</v>
      </c>
      <c r="C318" s="277">
        <f t="shared" ref="C318:D318" si="72">C319</f>
        <v>0</v>
      </c>
      <c r="D318" s="277">
        <f t="shared" si="72"/>
        <v>0</v>
      </c>
      <c r="E318" s="276"/>
      <c r="F318" s="207"/>
      <c r="G318" s="711" t="s">
        <v>940</v>
      </c>
      <c r="H318" s="334"/>
    </row>
    <row r="319" spans="1:8" ht="15.75" hidden="1" customHeight="1" x14ac:dyDescent="0.25">
      <c r="A319" s="217"/>
      <c r="B319" s="149" t="s">
        <v>250</v>
      </c>
      <c r="C319" s="277">
        <v>0</v>
      </c>
      <c r="D319" s="277">
        <v>0</v>
      </c>
      <c r="E319" s="248"/>
      <c r="F319" s="199"/>
      <c r="G319" s="711" t="s">
        <v>940</v>
      </c>
      <c r="H319" s="334"/>
    </row>
    <row r="320" spans="1:8" ht="15.75" hidden="1" customHeight="1" x14ac:dyDescent="0.25">
      <c r="A320" s="217"/>
      <c r="B320" s="148" t="s">
        <v>251</v>
      </c>
      <c r="C320" s="277">
        <f t="shared" ref="C320:D320" si="73">C321+C323</f>
        <v>0</v>
      </c>
      <c r="D320" s="277">
        <f t="shared" si="73"/>
        <v>0</v>
      </c>
      <c r="E320" s="248"/>
      <c r="F320" s="199"/>
      <c r="G320" s="711" t="s">
        <v>940</v>
      </c>
      <c r="H320" s="335"/>
    </row>
    <row r="321" spans="1:8" ht="31.5" hidden="1" customHeight="1" x14ac:dyDescent="0.25">
      <c r="A321" s="217"/>
      <c r="B321" s="148" t="s">
        <v>252</v>
      </c>
      <c r="C321" s="277">
        <f t="shared" ref="C321:D321" si="74">C322</f>
        <v>0</v>
      </c>
      <c r="D321" s="277">
        <f t="shared" si="74"/>
        <v>0</v>
      </c>
      <c r="E321" s="248"/>
      <c r="F321" s="199"/>
      <c r="G321" s="711" t="s">
        <v>940</v>
      </c>
      <c r="H321" s="328"/>
    </row>
    <row r="322" spans="1:8" ht="15.75" hidden="1" customHeight="1" x14ac:dyDescent="0.25">
      <c r="A322" s="217"/>
      <c r="B322" s="149" t="s">
        <v>230</v>
      </c>
      <c r="C322" s="277"/>
      <c r="D322" s="277"/>
      <c r="E322" s="248"/>
      <c r="F322" s="199"/>
      <c r="G322" s="711" t="s">
        <v>940</v>
      </c>
      <c r="H322" s="328"/>
    </row>
    <row r="323" spans="1:8" ht="31.5" hidden="1" customHeight="1" x14ac:dyDescent="0.25">
      <c r="A323" s="217"/>
      <c r="B323" s="148" t="s">
        <v>253</v>
      </c>
      <c r="C323" s="277">
        <f t="shared" ref="C323:D323" si="75">C324</f>
        <v>0</v>
      </c>
      <c r="D323" s="277">
        <f t="shared" si="75"/>
        <v>0</v>
      </c>
      <c r="E323" s="248"/>
      <c r="F323" s="199"/>
      <c r="G323" s="711" t="s">
        <v>940</v>
      </c>
      <c r="H323" s="328"/>
    </row>
    <row r="324" spans="1:8" ht="47.25" hidden="1" customHeight="1" x14ac:dyDescent="0.25">
      <c r="A324" s="217"/>
      <c r="B324" s="149" t="s">
        <v>254</v>
      </c>
      <c r="C324" s="277"/>
      <c r="D324" s="277"/>
      <c r="E324" s="248"/>
      <c r="F324" s="199"/>
      <c r="G324" s="711" t="s">
        <v>940</v>
      </c>
      <c r="H324" s="328"/>
    </row>
    <row r="325" spans="1:8" ht="24.75" customHeight="1" x14ac:dyDescent="0.25">
      <c r="A325" s="217"/>
      <c r="B325" s="279" t="s">
        <v>255</v>
      </c>
      <c r="C325" s="278">
        <f>C326+C331+C333+C335</f>
        <v>480</v>
      </c>
      <c r="D325" s="278">
        <f t="shared" ref="D325" si="76">D326+D331+D333+D335</f>
        <v>480</v>
      </c>
      <c r="E325" s="270">
        <f t="shared" si="60"/>
        <v>100</v>
      </c>
      <c r="F325" s="271">
        <f t="shared" si="64"/>
        <v>0</v>
      </c>
      <c r="G325" s="711" t="s">
        <v>940</v>
      </c>
      <c r="H325" s="336"/>
    </row>
    <row r="326" spans="1:8" ht="15.75" hidden="1" customHeight="1" x14ac:dyDescent="0.25">
      <c r="A326" s="217"/>
      <c r="B326" s="148" t="s">
        <v>256</v>
      </c>
      <c r="C326" s="277">
        <f t="shared" ref="C326:D326" si="77">C327+C328+C329+C330</f>
        <v>0</v>
      </c>
      <c r="D326" s="277">
        <f t="shared" si="77"/>
        <v>0</v>
      </c>
      <c r="E326" s="276"/>
      <c r="F326" s="207"/>
      <c r="G326" s="711" t="s">
        <v>940</v>
      </c>
      <c r="H326" s="331"/>
    </row>
    <row r="327" spans="1:8" ht="15.75" hidden="1" customHeight="1" x14ac:dyDescent="0.25">
      <c r="A327" s="217"/>
      <c r="B327" s="149" t="s">
        <v>257</v>
      </c>
      <c r="C327" s="277"/>
      <c r="D327" s="277"/>
      <c r="E327" s="276"/>
      <c r="F327" s="207"/>
      <c r="G327" s="711" t="s">
        <v>940</v>
      </c>
      <c r="H327" s="331"/>
    </row>
    <row r="328" spans="1:8" ht="15.75" hidden="1" customHeight="1" x14ac:dyDescent="0.25">
      <c r="A328" s="217"/>
      <c r="B328" s="149" t="s">
        <v>258</v>
      </c>
      <c r="C328" s="277"/>
      <c r="D328" s="277"/>
      <c r="E328" s="276"/>
      <c r="F328" s="207"/>
      <c r="G328" s="711" t="s">
        <v>940</v>
      </c>
      <c r="H328" s="331"/>
    </row>
    <row r="329" spans="1:8" ht="15.75" hidden="1" customHeight="1" x14ac:dyDescent="0.25">
      <c r="A329" s="217"/>
      <c r="B329" s="149" t="s">
        <v>259</v>
      </c>
      <c r="C329" s="277"/>
      <c r="D329" s="277"/>
      <c r="E329" s="276"/>
      <c r="F329" s="207"/>
      <c r="G329" s="711" t="s">
        <v>940</v>
      </c>
      <c r="H329" s="337"/>
    </row>
    <row r="330" spans="1:8" ht="31.5" hidden="1" customHeight="1" x14ac:dyDescent="0.25">
      <c r="A330" s="217"/>
      <c r="B330" s="149" t="s">
        <v>260</v>
      </c>
      <c r="C330" s="277"/>
      <c r="D330" s="277"/>
      <c r="E330" s="276"/>
      <c r="F330" s="207"/>
      <c r="G330" s="711" t="s">
        <v>940</v>
      </c>
      <c r="H330" s="337"/>
    </row>
    <row r="331" spans="1:8" ht="31.5" hidden="1" customHeight="1" x14ac:dyDescent="0.25">
      <c r="A331" s="217"/>
      <c r="B331" s="148" t="s">
        <v>261</v>
      </c>
      <c r="C331" s="277">
        <f t="shared" ref="C331:D331" si="78">C332</f>
        <v>0</v>
      </c>
      <c r="D331" s="277">
        <f t="shared" si="78"/>
        <v>0</v>
      </c>
      <c r="E331" s="276"/>
      <c r="F331" s="207"/>
      <c r="G331" s="711" t="s">
        <v>940</v>
      </c>
      <c r="H331" s="337"/>
    </row>
    <row r="332" spans="1:8" ht="31.5" hidden="1" customHeight="1" x14ac:dyDescent="0.25">
      <c r="A332" s="217"/>
      <c r="B332" s="149" t="s">
        <v>262</v>
      </c>
      <c r="C332" s="277"/>
      <c r="D332" s="277"/>
      <c r="E332" s="276"/>
      <c r="F332" s="207"/>
      <c r="G332" s="711" t="s">
        <v>940</v>
      </c>
      <c r="H332" s="331"/>
    </row>
    <row r="333" spans="1:8" ht="15.75" hidden="1" customHeight="1" x14ac:dyDescent="0.25">
      <c r="A333" s="217"/>
      <c r="B333" s="148" t="s">
        <v>263</v>
      </c>
      <c r="C333" s="277">
        <f t="shared" ref="C333:D333" si="79">C334</f>
        <v>0</v>
      </c>
      <c r="D333" s="277">
        <f t="shared" si="79"/>
        <v>0</v>
      </c>
      <c r="E333" s="276"/>
      <c r="F333" s="207"/>
      <c r="G333" s="711" t="s">
        <v>940</v>
      </c>
      <c r="H333" s="331"/>
    </row>
    <row r="334" spans="1:8" ht="31.5" hidden="1" customHeight="1" x14ac:dyDescent="0.25">
      <c r="A334" s="217"/>
      <c r="B334" s="149" t="s">
        <v>264</v>
      </c>
      <c r="C334" s="277"/>
      <c r="D334" s="277"/>
      <c r="E334" s="276"/>
      <c r="F334" s="207"/>
      <c r="G334" s="711" t="s">
        <v>940</v>
      </c>
      <c r="H334" s="331"/>
    </row>
    <row r="335" spans="1:8" ht="267.75" x14ac:dyDescent="0.25">
      <c r="A335" s="217"/>
      <c r="B335" s="148" t="s">
        <v>265</v>
      </c>
      <c r="C335" s="160">
        <f t="shared" ref="C335:D335" si="80">C336</f>
        <v>480</v>
      </c>
      <c r="D335" s="160">
        <f t="shared" si="80"/>
        <v>480</v>
      </c>
      <c r="E335" s="276">
        <f t="shared" si="60"/>
        <v>100</v>
      </c>
      <c r="F335" s="207">
        <f t="shared" ref="F335:F380" si="81">C335-D335</f>
        <v>0</v>
      </c>
      <c r="G335" s="200" t="s">
        <v>940</v>
      </c>
      <c r="H335" s="87" t="s">
        <v>1087</v>
      </c>
    </row>
    <row r="336" spans="1:8" ht="31.5" x14ac:dyDescent="0.25">
      <c r="A336" s="217"/>
      <c r="B336" s="149" t="s">
        <v>266</v>
      </c>
      <c r="C336" s="365">
        <v>480</v>
      </c>
      <c r="D336" s="365">
        <v>480</v>
      </c>
      <c r="E336" s="276">
        <f t="shared" ref="E336:E380" si="82">SUM(D336/C336*100)</f>
        <v>100</v>
      </c>
      <c r="F336" s="207">
        <f t="shared" si="81"/>
        <v>0</v>
      </c>
      <c r="G336" s="711" t="s">
        <v>940</v>
      </c>
      <c r="H336" s="331"/>
    </row>
    <row r="337" spans="1:8" ht="15.75" hidden="1" customHeight="1" x14ac:dyDescent="0.25">
      <c r="A337" s="217"/>
      <c r="B337" s="151" t="s">
        <v>267</v>
      </c>
      <c r="C337" s="277">
        <f t="shared" ref="C337:D337" si="83">C338+C340+C341</f>
        <v>0</v>
      </c>
      <c r="D337" s="277">
        <f t="shared" si="83"/>
        <v>0</v>
      </c>
      <c r="E337" s="248"/>
      <c r="F337" s="199"/>
      <c r="G337" s="711" t="s">
        <v>940</v>
      </c>
      <c r="H337" s="328"/>
    </row>
    <row r="338" spans="1:8" ht="31.5" hidden="1" customHeight="1" x14ac:dyDescent="0.25">
      <c r="A338" s="217"/>
      <c r="B338" s="151" t="s">
        <v>268</v>
      </c>
      <c r="C338" s="277">
        <f t="shared" ref="C338:D338" si="84">C339</f>
        <v>0</v>
      </c>
      <c r="D338" s="277">
        <f t="shared" si="84"/>
        <v>0</v>
      </c>
      <c r="E338" s="248"/>
      <c r="F338" s="199"/>
      <c r="G338" s="711" t="s">
        <v>940</v>
      </c>
      <c r="H338" s="328"/>
    </row>
    <row r="339" spans="1:8" ht="47.25" hidden="1" customHeight="1" x14ac:dyDescent="0.25">
      <c r="A339" s="217"/>
      <c r="B339" s="149" t="s">
        <v>269</v>
      </c>
      <c r="C339" s="277"/>
      <c r="D339" s="277"/>
      <c r="E339" s="248"/>
      <c r="F339" s="199"/>
      <c r="G339" s="711" t="s">
        <v>940</v>
      </c>
      <c r="H339" s="328"/>
    </row>
    <row r="340" spans="1:8" ht="15.75" hidden="1" customHeight="1" x14ac:dyDescent="0.25">
      <c r="A340" s="217"/>
      <c r="B340" s="149" t="s">
        <v>270</v>
      </c>
      <c r="C340" s="277"/>
      <c r="D340" s="277"/>
      <c r="E340" s="248"/>
      <c r="F340" s="199"/>
      <c r="G340" s="711" t="s">
        <v>940</v>
      </c>
      <c r="H340" s="328"/>
    </row>
    <row r="341" spans="1:8" ht="15.75" hidden="1" customHeight="1" x14ac:dyDescent="0.25">
      <c r="A341" s="217"/>
      <c r="B341" s="149" t="s">
        <v>271</v>
      </c>
      <c r="C341" s="277"/>
      <c r="D341" s="277"/>
      <c r="E341" s="248"/>
      <c r="F341" s="199"/>
      <c r="G341" s="711" t="s">
        <v>940</v>
      </c>
      <c r="H341" s="328"/>
    </row>
    <row r="342" spans="1:8" ht="15.75" hidden="1" customHeight="1" x14ac:dyDescent="0.25">
      <c r="A342" s="217"/>
      <c r="B342" s="148" t="s">
        <v>272</v>
      </c>
      <c r="C342" s="277">
        <f t="shared" ref="C342:D342" si="85">C343</f>
        <v>0</v>
      </c>
      <c r="D342" s="277">
        <f t="shared" si="85"/>
        <v>0</v>
      </c>
      <c r="E342" s="248"/>
      <c r="F342" s="199"/>
      <c r="G342" s="711" t="s">
        <v>940</v>
      </c>
      <c r="H342" s="328"/>
    </row>
    <row r="343" spans="1:8" ht="31.5" hidden="1" customHeight="1" x14ac:dyDescent="0.25">
      <c r="A343" s="217"/>
      <c r="B343" s="148" t="s">
        <v>273</v>
      </c>
      <c r="C343" s="277">
        <f t="shared" ref="C343:D343" si="86">C344+C345</f>
        <v>0</v>
      </c>
      <c r="D343" s="277">
        <f t="shared" si="86"/>
        <v>0</v>
      </c>
      <c r="E343" s="248"/>
      <c r="F343" s="199"/>
      <c r="G343" s="711" t="s">
        <v>940</v>
      </c>
      <c r="H343" s="328"/>
    </row>
    <row r="344" spans="1:8" ht="31.5" hidden="1" customHeight="1" x14ac:dyDescent="0.25">
      <c r="A344" s="217"/>
      <c r="B344" s="149" t="s">
        <v>274</v>
      </c>
      <c r="C344" s="277"/>
      <c r="D344" s="277"/>
      <c r="E344" s="248"/>
      <c r="F344" s="199"/>
      <c r="G344" s="711" t="s">
        <v>940</v>
      </c>
      <c r="H344" s="328"/>
    </row>
    <row r="345" spans="1:8" ht="31.5" hidden="1" customHeight="1" x14ac:dyDescent="0.25">
      <c r="A345" s="217"/>
      <c r="B345" s="149" t="s">
        <v>275</v>
      </c>
      <c r="C345" s="277"/>
      <c r="D345" s="277"/>
      <c r="E345" s="248"/>
      <c r="F345" s="199"/>
      <c r="G345" s="711" t="s">
        <v>940</v>
      </c>
      <c r="H345" s="328"/>
    </row>
    <row r="346" spans="1:8" ht="15.75" hidden="1" customHeight="1" x14ac:dyDescent="0.25">
      <c r="A346" s="217"/>
      <c r="B346" s="149" t="s">
        <v>276</v>
      </c>
      <c r="C346" s="277"/>
      <c r="D346" s="277"/>
      <c r="E346" s="248"/>
      <c r="F346" s="199"/>
      <c r="G346" s="711" t="s">
        <v>940</v>
      </c>
      <c r="H346" s="328"/>
    </row>
    <row r="347" spans="1:8" ht="15.75" hidden="1" customHeight="1" x14ac:dyDescent="0.25">
      <c r="A347" s="217"/>
      <c r="B347" s="151" t="s">
        <v>277</v>
      </c>
      <c r="C347" s="277">
        <f t="shared" ref="C347:D347" si="87">C348+C350</f>
        <v>0</v>
      </c>
      <c r="D347" s="277">
        <f t="shared" si="87"/>
        <v>0</v>
      </c>
      <c r="E347" s="248"/>
      <c r="F347" s="199"/>
      <c r="G347" s="711" t="s">
        <v>940</v>
      </c>
      <c r="H347" s="328"/>
    </row>
    <row r="348" spans="1:8" ht="15.75" hidden="1" customHeight="1" x14ac:dyDescent="0.25">
      <c r="A348" s="217"/>
      <c r="B348" s="148" t="s">
        <v>278</v>
      </c>
      <c r="C348" s="277">
        <f t="shared" ref="C348:D348" si="88">C349</f>
        <v>0</v>
      </c>
      <c r="D348" s="277">
        <f t="shared" si="88"/>
        <v>0</v>
      </c>
      <c r="E348" s="248"/>
      <c r="F348" s="199"/>
      <c r="G348" s="711" t="s">
        <v>940</v>
      </c>
      <c r="H348" s="328"/>
    </row>
    <row r="349" spans="1:8" ht="15.75" hidden="1" customHeight="1" x14ac:dyDescent="0.25">
      <c r="A349" s="217"/>
      <c r="B349" s="149" t="s">
        <v>279</v>
      </c>
      <c r="C349" s="277"/>
      <c r="D349" s="277"/>
      <c r="E349" s="248"/>
      <c r="F349" s="199"/>
      <c r="G349" s="711" t="s">
        <v>940</v>
      </c>
      <c r="H349" s="328"/>
    </row>
    <row r="350" spans="1:8" ht="31.5" hidden="1" customHeight="1" x14ac:dyDescent="0.25">
      <c r="A350" s="217"/>
      <c r="B350" s="151" t="s">
        <v>280</v>
      </c>
      <c r="C350" s="277">
        <f t="shared" ref="C350:D350" si="89">C351</f>
        <v>0</v>
      </c>
      <c r="D350" s="277">
        <f t="shared" si="89"/>
        <v>0</v>
      </c>
      <c r="E350" s="248"/>
      <c r="F350" s="199"/>
      <c r="G350" s="711" t="s">
        <v>940</v>
      </c>
      <c r="H350" s="328"/>
    </row>
    <row r="351" spans="1:8" ht="47.25" hidden="1" customHeight="1" x14ac:dyDescent="0.25">
      <c r="A351" s="217"/>
      <c r="B351" s="150" t="s">
        <v>281</v>
      </c>
      <c r="C351" s="277"/>
      <c r="D351" s="277"/>
      <c r="E351" s="248"/>
      <c r="F351" s="199"/>
      <c r="G351" s="711" t="s">
        <v>940</v>
      </c>
      <c r="H351" s="328"/>
    </row>
    <row r="352" spans="1:8" ht="15.75" hidden="1" customHeight="1" x14ac:dyDescent="0.25">
      <c r="A352" s="217"/>
      <c r="B352" s="151" t="s">
        <v>282</v>
      </c>
      <c r="C352" s="277">
        <f t="shared" ref="C352:D352" si="90">C353</f>
        <v>0</v>
      </c>
      <c r="D352" s="277">
        <f t="shared" si="90"/>
        <v>0</v>
      </c>
      <c r="E352" s="248"/>
      <c r="F352" s="199"/>
      <c r="G352" s="711" t="s">
        <v>940</v>
      </c>
      <c r="H352" s="328"/>
    </row>
    <row r="353" spans="1:8" ht="15.75" hidden="1" customHeight="1" x14ac:dyDescent="0.25">
      <c r="A353" s="217"/>
      <c r="B353" s="151" t="s">
        <v>283</v>
      </c>
      <c r="C353" s="277">
        <f t="shared" ref="C353:D353" si="91">C354+C355</f>
        <v>0</v>
      </c>
      <c r="D353" s="277">
        <f t="shared" si="91"/>
        <v>0</v>
      </c>
      <c r="E353" s="248"/>
      <c r="F353" s="199"/>
      <c r="G353" s="711" t="s">
        <v>940</v>
      </c>
      <c r="H353" s="328"/>
    </row>
    <row r="354" spans="1:8" ht="15.75" hidden="1" customHeight="1" x14ac:dyDescent="0.25">
      <c r="A354" s="217"/>
      <c r="B354" s="150" t="s">
        <v>284</v>
      </c>
      <c r="C354" s="277"/>
      <c r="D354" s="277"/>
      <c r="E354" s="248"/>
      <c r="F354" s="199"/>
      <c r="G354" s="711" t="s">
        <v>940</v>
      </c>
      <c r="H354" s="328"/>
    </row>
    <row r="355" spans="1:8" ht="15.75" hidden="1" customHeight="1" x14ac:dyDescent="0.25">
      <c r="A355" s="217"/>
      <c r="B355" s="149" t="s">
        <v>285</v>
      </c>
      <c r="C355" s="277"/>
      <c r="D355" s="277"/>
      <c r="E355" s="248"/>
      <c r="F355" s="199"/>
      <c r="G355" s="711" t="s">
        <v>940</v>
      </c>
      <c r="H355" s="328"/>
    </row>
    <row r="356" spans="1:8" x14ac:dyDescent="0.25">
      <c r="A356" s="217"/>
      <c r="B356" s="279" t="s">
        <v>286</v>
      </c>
      <c r="C356" s="278">
        <f>C357+C359+C361+C373+C375+C377+C380</f>
        <v>1090</v>
      </c>
      <c r="D356" s="278">
        <f>D357+D359+D361+D373+D375+D377+D380</f>
        <v>1090</v>
      </c>
      <c r="E356" s="283">
        <f t="shared" si="82"/>
        <v>100</v>
      </c>
      <c r="F356" s="201">
        <f t="shared" si="81"/>
        <v>0</v>
      </c>
      <c r="G356" s="711" t="s">
        <v>940</v>
      </c>
      <c r="H356" s="328"/>
    </row>
    <row r="357" spans="1:8" ht="15.75" hidden="1" customHeight="1" x14ac:dyDescent="0.25">
      <c r="A357" s="217"/>
      <c r="B357" s="152" t="s">
        <v>287</v>
      </c>
      <c r="C357" s="277">
        <f t="shared" ref="C357:D357" si="92">C358</f>
        <v>0</v>
      </c>
      <c r="D357" s="277">
        <f t="shared" si="92"/>
        <v>0</v>
      </c>
      <c r="E357" s="248"/>
      <c r="F357" s="199"/>
      <c r="G357" s="711" t="s">
        <v>940</v>
      </c>
      <c r="H357" s="328"/>
    </row>
    <row r="358" spans="1:8" ht="15.75" hidden="1" customHeight="1" x14ac:dyDescent="0.25">
      <c r="A358" s="217"/>
      <c r="B358" s="157" t="s">
        <v>288</v>
      </c>
      <c r="C358" s="277"/>
      <c r="D358" s="277"/>
      <c r="E358" s="248"/>
      <c r="F358" s="199"/>
      <c r="G358" s="711" t="s">
        <v>940</v>
      </c>
      <c r="H358" s="328"/>
    </row>
    <row r="359" spans="1:8" ht="15.75" hidden="1" customHeight="1" x14ac:dyDescent="0.25">
      <c r="A359" s="217"/>
      <c r="B359" s="152" t="s">
        <v>289</v>
      </c>
      <c r="C359" s="277">
        <f t="shared" ref="C359:D359" si="93">C360</f>
        <v>0</v>
      </c>
      <c r="D359" s="277">
        <f t="shared" si="93"/>
        <v>0</v>
      </c>
      <c r="E359" s="248"/>
      <c r="F359" s="199"/>
      <c r="G359" s="711" t="s">
        <v>940</v>
      </c>
      <c r="H359" s="328"/>
    </row>
    <row r="360" spans="1:8" ht="15.75" hidden="1" customHeight="1" x14ac:dyDescent="0.25">
      <c r="A360" s="217"/>
      <c r="B360" s="157" t="s">
        <v>290</v>
      </c>
      <c r="C360" s="277"/>
      <c r="D360" s="277"/>
      <c r="E360" s="248"/>
      <c r="F360" s="199"/>
      <c r="G360" s="711" t="s">
        <v>940</v>
      </c>
      <c r="H360" s="328"/>
    </row>
    <row r="361" spans="1:8" x14ac:dyDescent="0.25">
      <c r="A361" s="217"/>
      <c r="B361" s="152" t="s">
        <v>291</v>
      </c>
      <c r="C361" s="743">
        <f>SUM(C362:C372)</f>
        <v>215</v>
      </c>
      <c r="D361" s="284">
        <f>SUM(D362:D372)</f>
        <v>215</v>
      </c>
      <c r="E361" s="285">
        <f t="shared" si="82"/>
        <v>100</v>
      </c>
      <c r="F361" s="208">
        <f t="shared" si="81"/>
        <v>0</v>
      </c>
      <c r="G361" s="711" t="s">
        <v>940</v>
      </c>
      <c r="H361" s="328"/>
    </row>
    <row r="362" spans="1:8" ht="20.25" hidden="1" customHeight="1" x14ac:dyDescent="0.25">
      <c r="A362" s="217"/>
      <c r="B362" s="157" t="s">
        <v>292</v>
      </c>
      <c r="C362" s="364">
        <v>0</v>
      </c>
      <c r="D362" s="277"/>
      <c r="E362" s="248"/>
      <c r="F362" s="199"/>
      <c r="G362" s="711" t="s">
        <v>940</v>
      </c>
      <c r="H362" s="328"/>
    </row>
    <row r="363" spans="1:8" ht="20.25" hidden="1" customHeight="1" x14ac:dyDescent="0.25">
      <c r="A363" s="217"/>
      <c r="B363" s="157" t="s">
        <v>293</v>
      </c>
      <c r="C363" s="364"/>
      <c r="D363" s="277"/>
      <c r="E363" s="248"/>
      <c r="F363" s="199"/>
      <c r="G363" s="711" t="s">
        <v>940</v>
      </c>
      <c r="H363" s="328"/>
    </row>
    <row r="364" spans="1:8" ht="20.25" hidden="1" customHeight="1" x14ac:dyDescent="0.25">
      <c r="A364" s="217"/>
      <c r="B364" s="157" t="s">
        <v>294</v>
      </c>
      <c r="C364" s="364"/>
      <c r="D364" s="277"/>
      <c r="E364" s="248"/>
      <c r="F364" s="199"/>
      <c r="G364" s="711" t="s">
        <v>940</v>
      </c>
      <c r="H364" s="328"/>
    </row>
    <row r="365" spans="1:8" x14ac:dyDescent="0.25">
      <c r="A365" s="217"/>
      <c r="B365" s="157" t="s">
        <v>295</v>
      </c>
      <c r="C365" s="364">
        <v>39.9</v>
      </c>
      <c r="D365" s="277">
        <v>39.9</v>
      </c>
      <c r="E365" s="248">
        <f t="shared" si="82"/>
        <v>100</v>
      </c>
      <c r="F365" s="199">
        <f t="shared" si="81"/>
        <v>0</v>
      </c>
      <c r="G365" s="711" t="s">
        <v>940</v>
      </c>
      <c r="H365" s="328"/>
    </row>
    <row r="366" spans="1:8" x14ac:dyDescent="0.25">
      <c r="A366" s="217"/>
      <c r="B366" s="157" t="s">
        <v>296</v>
      </c>
      <c r="C366" s="364">
        <v>30</v>
      </c>
      <c r="D366" s="277">
        <v>30</v>
      </c>
      <c r="E366" s="248">
        <f t="shared" si="82"/>
        <v>100</v>
      </c>
      <c r="F366" s="199">
        <f t="shared" si="81"/>
        <v>0</v>
      </c>
      <c r="G366" s="711" t="s">
        <v>940</v>
      </c>
      <c r="H366" s="328"/>
    </row>
    <row r="367" spans="1:8" x14ac:dyDescent="0.25">
      <c r="A367" s="217"/>
      <c r="B367" s="157" t="s">
        <v>297</v>
      </c>
      <c r="C367" s="364">
        <v>25.1</v>
      </c>
      <c r="D367" s="277">
        <v>25.1</v>
      </c>
      <c r="E367" s="248">
        <f t="shared" si="82"/>
        <v>100</v>
      </c>
      <c r="F367" s="199">
        <f t="shared" si="81"/>
        <v>0</v>
      </c>
      <c r="G367" s="711" t="s">
        <v>940</v>
      </c>
      <c r="H367" s="328"/>
    </row>
    <row r="368" spans="1:8" x14ac:dyDescent="0.25">
      <c r="A368" s="217"/>
      <c r="B368" s="157" t="s">
        <v>298</v>
      </c>
      <c r="C368" s="364">
        <v>60</v>
      </c>
      <c r="D368" s="277">
        <v>60</v>
      </c>
      <c r="E368" s="248">
        <f t="shared" si="82"/>
        <v>100</v>
      </c>
      <c r="F368" s="199">
        <f t="shared" si="81"/>
        <v>0</v>
      </c>
      <c r="G368" s="711" t="s">
        <v>940</v>
      </c>
      <c r="H368" s="328"/>
    </row>
    <row r="369" spans="1:8" ht="15.75" hidden="1" customHeight="1" x14ac:dyDescent="0.25">
      <c r="A369" s="217"/>
      <c r="B369" s="154" t="s">
        <v>299</v>
      </c>
      <c r="C369" s="364"/>
      <c r="D369" s="277"/>
      <c r="E369" s="248"/>
      <c r="F369" s="199">
        <f t="shared" si="81"/>
        <v>0</v>
      </c>
      <c r="G369" s="711" t="s">
        <v>940</v>
      </c>
      <c r="H369" s="328"/>
    </row>
    <row r="370" spans="1:8" x14ac:dyDescent="0.25">
      <c r="A370" s="217"/>
      <c r="B370" s="157" t="s">
        <v>300</v>
      </c>
      <c r="C370" s="364">
        <v>60</v>
      </c>
      <c r="D370" s="277">
        <v>60</v>
      </c>
      <c r="E370" s="248">
        <f t="shared" si="82"/>
        <v>100</v>
      </c>
      <c r="F370" s="199">
        <f t="shared" si="81"/>
        <v>0</v>
      </c>
      <c r="G370" s="711" t="s">
        <v>940</v>
      </c>
      <c r="H370" s="328"/>
    </row>
    <row r="371" spans="1:8" ht="15.75" hidden="1" customHeight="1" x14ac:dyDescent="0.25">
      <c r="A371" s="217"/>
      <c r="B371" s="157" t="s">
        <v>301</v>
      </c>
      <c r="C371" s="364">
        <v>0</v>
      </c>
      <c r="D371" s="277"/>
      <c r="E371" s="248"/>
      <c r="F371" s="199">
        <f t="shared" si="81"/>
        <v>0</v>
      </c>
      <c r="G371" s="711" t="s">
        <v>940</v>
      </c>
      <c r="H371" s="328"/>
    </row>
    <row r="372" spans="1:8" ht="15.75" hidden="1" customHeight="1" x14ac:dyDescent="0.25">
      <c r="A372" s="217"/>
      <c r="B372" s="157" t="s">
        <v>302</v>
      </c>
      <c r="C372" s="364"/>
      <c r="D372" s="277"/>
      <c r="E372" s="248"/>
      <c r="F372" s="199">
        <f t="shared" si="81"/>
        <v>0</v>
      </c>
      <c r="G372" s="711" t="s">
        <v>940</v>
      </c>
      <c r="H372" s="328"/>
    </row>
    <row r="373" spans="1:8" x14ac:dyDescent="0.25">
      <c r="A373" s="217"/>
      <c r="B373" s="152" t="s">
        <v>303</v>
      </c>
      <c r="C373" s="743">
        <f t="shared" ref="C373:D373" si="94">C374</f>
        <v>20</v>
      </c>
      <c r="D373" s="284">
        <f t="shared" si="94"/>
        <v>20</v>
      </c>
      <c r="E373" s="285">
        <f t="shared" si="82"/>
        <v>100</v>
      </c>
      <c r="F373" s="208">
        <f t="shared" si="81"/>
        <v>0</v>
      </c>
      <c r="G373" s="711" t="s">
        <v>940</v>
      </c>
      <c r="H373" s="328"/>
    </row>
    <row r="374" spans="1:8" ht="31.5" x14ac:dyDescent="0.25">
      <c r="A374" s="217"/>
      <c r="B374" s="157" t="s">
        <v>304</v>
      </c>
      <c r="C374" s="365">
        <v>20</v>
      </c>
      <c r="D374" s="160">
        <v>20</v>
      </c>
      <c r="E374" s="248">
        <f t="shared" si="82"/>
        <v>100</v>
      </c>
      <c r="F374" s="199">
        <f t="shared" si="81"/>
        <v>0</v>
      </c>
      <c r="G374" s="711" t="s">
        <v>940</v>
      </c>
      <c r="H374" s="328"/>
    </row>
    <row r="375" spans="1:8" x14ac:dyDescent="0.25">
      <c r="A375" s="217"/>
      <c r="B375" s="152" t="s">
        <v>305</v>
      </c>
      <c r="C375" s="743">
        <f t="shared" ref="C375:D375" si="95">C376</f>
        <v>644.5</v>
      </c>
      <c r="D375" s="284">
        <f t="shared" si="95"/>
        <v>644.5</v>
      </c>
      <c r="E375" s="285">
        <f t="shared" si="82"/>
        <v>100</v>
      </c>
      <c r="F375" s="208">
        <f t="shared" si="81"/>
        <v>0</v>
      </c>
      <c r="G375" s="711" t="s">
        <v>940</v>
      </c>
      <c r="H375" s="328"/>
    </row>
    <row r="376" spans="1:8" x14ac:dyDescent="0.25">
      <c r="A376" s="217"/>
      <c r="B376" s="157" t="s">
        <v>306</v>
      </c>
      <c r="C376" s="364">
        <v>644.5</v>
      </c>
      <c r="D376" s="277">
        <v>644.5</v>
      </c>
      <c r="E376" s="248">
        <f t="shared" si="82"/>
        <v>100</v>
      </c>
      <c r="F376" s="199">
        <f t="shared" si="81"/>
        <v>0</v>
      </c>
      <c r="G376" s="711" t="s">
        <v>940</v>
      </c>
      <c r="H376" s="328"/>
    </row>
    <row r="377" spans="1:8" x14ac:dyDescent="0.25">
      <c r="A377" s="217"/>
      <c r="B377" s="152" t="s">
        <v>307</v>
      </c>
      <c r="C377" s="743">
        <f>C378+C379</f>
        <v>122.5</v>
      </c>
      <c r="D377" s="284">
        <f t="shared" ref="D377" si="96">D378+D379</f>
        <v>122.5</v>
      </c>
      <c r="E377" s="285">
        <f t="shared" si="82"/>
        <v>100</v>
      </c>
      <c r="F377" s="208">
        <f t="shared" si="81"/>
        <v>0</v>
      </c>
      <c r="G377" s="711" t="s">
        <v>940</v>
      </c>
      <c r="H377" s="328"/>
    </row>
    <row r="378" spans="1:8" ht="15.75" hidden="1" customHeight="1" x14ac:dyDescent="0.25">
      <c r="A378" s="217"/>
      <c r="B378" s="157" t="s">
        <v>308</v>
      </c>
      <c r="C378" s="364"/>
      <c r="D378" s="277"/>
      <c r="E378" s="248"/>
      <c r="F378" s="199">
        <f t="shared" si="81"/>
        <v>0</v>
      </c>
      <c r="G378" s="711" t="s">
        <v>940</v>
      </c>
      <c r="H378" s="328"/>
    </row>
    <row r="379" spans="1:8" x14ac:dyDescent="0.25">
      <c r="A379" s="217"/>
      <c r="B379" s="157" t="s">
        <v>309</v>
      </c>
      <c r="C379" s="364">
        <v>122.5</v>
      </c>
      <c r="D379" s="277">
        <v>122.5</v>
      </c>
      <c r="E379" s="248">
        <f t="shared" si="82"/>
        <v>100</v>
      </c>
      <c r="F379" s="199">
        <f t="shared" si="81"/>
        <v>0</v>
      </c>
      <c r="G379" s="711" t="s">
        <v>940</v>
      </c>
      <c r="H379" s="328"/>
    </row>
    <row r="380" spans="1:8" x14ac:dyDescent="0.25">
      <c r="A380" s="217"/>
      <c r="B380" s="152" t="s">
        <v>310</v>
      </c>
      <c r="C380" s="364">
        <v>88</v>
      </c>
      <c r="D380" s="277">
        <v>88</v>
      </c>
      <c r="E380" s="248">
        <f t="shared" si="82"/>
        <v>100</v>
      </c>
      <c r="F380" s="199">
        <f t="shared" si="81"/>
        <v>0</v>
      </c>
      <c r="G380" s="711" t="s">
        <v>940</v>
      </c>
      <c r="H380" s="328"/>
    </row>
    <row r="381" spans="1:8" x14ac:dyDescent="0.25">
      <c r="A381" s="217"/>
      <c r="B381" s="152" t="s">
        <v>311</v>
      </c>
      <c r="C381" s="364"/>
      <c r="D381" s="277"/>
      <c r="E381" s="286"/>
      <c r="F381" s="287"/>
      <c r="G381" s="711" t="s">
        <v>940</v>
      </c>
      <c r="H381" s="328"/>
    </row>
    <row r="382" spans="1:8" x14ac:dyDescent="0.25">
      <c r="A382" s="217"/>
      <c r="B382" s="153" t="s">
        <v>312</v>
      </c>
      <c r="C382" s="364">
        <v>88</v>
      </c>
      <c r="D382" s="277">
        <v>88</v>
      </c>
      <c r="E382" s="248">
        <f t="shared" ref="E382" si="97">SUM(D382/C382*100)</f>
        <v>100</v>
      </c>
      <c r="F382" s="199">
        <f t="shared" ref="F382" si="98">C382-D382</f>
        <v>0</v>
      </c>
      <c r="G382" s="711" t="s">
        <v>940</v>
      </c>
      <c r="H382" s="328"/>
    </row>
    <row r="383" spans="1:8" x14ac:dyDescent="0.25">
      <c r="A383" s="326">
        <v>14</v>
      </c>
      <c r="B383" s="189" t="s">
        <v>10</v>
      </c>
      <c r="C383" s="32">
        <f>SUM(C384+C387+C393+C396)</f>
        <v>7078.2642699999997</v>
      </c>
      <c r="D383" s="32">
        <f>SUM(D384+D387+D393+D396)</f>
        <v>6498.5059999999994</v>
      </c>
      <c r="E383" s="192">
        <f>SUM(D383/C383*100)</f>
        <v>91.809315845168342</v>
      </c>
      <c r="F383" s="193">
        <f t="shared" ref="F383:F419" si="99">C383-D383</f>
        <v>579.75827000000027</v>
      </c>
      <c r="G383" s="288"/>
      <c r="H383" s="338" t="s">
        <v>1176</v>
      </c>
    </row>
    <row r="384" spans="1:8" ht="31.5" x14ac:dyDescent="0.25">
      <c r="A384" s="217"/>
      <c r="B384" s="289" t="s">
        <v>11</v>
      </c>
      <c r="C384" s="290">
        <f>SUM(C385)</f>
        <v>1065.9362699999999</v>
      </c>
      <c r="D384" s="290">
        <f>SUM(D385)</f>
        <v>920.36500000000001</v>
      </c>
      <c r="E384" s="283">
        <f t="shared" ref="E384" si="100">SUM(D384/C384*100)</f>
        <v>86.343342083668844</v>
      </c>
      <c r="F384" s="201">
        <f t="shared" si="99"/>
        <v>145.57126999999991</v>
      </c>
      <c r="G384" s="275" t="s">
        <v>940</v>
      </c>
      <c r="H384" s="328"/>
    </row>
    <row r="385" spans="1:8" ht="47.25" x14ac:dyDescent="0.25">
      <c r="A385" s="217"/>
      <c r="B385" s="292" t="s">
        <v>12</v>
      </c>
      <c r="C385" s="735">
        <v>1065.9362699999999</v>
      </c>
      <c r="D385" s="735">
        <v>920.36500000000001</v>
      </c>
      <c r="E385" s="248">
        <f>SUM(D385/C385*100)</f>
        <v>86.343342083668844</v>
      </c>
      <c r="F385" s="199">
        <f>C385-D385</f>
        <v>145.57126999999991</v>
      </c>
      <c r="G385" s="711" t="s">
        <v>1125</v>
      </c>
      <c r="H385" s="328"/>
    </row>
    <row r="386" spans="1:8" ht="31.5" hidden="1" x14ac:dyDescent="0.25">
      <c r="A386" s="217"/>
      <c r="B386" s="292" t="s">
        <v>13</v>
      </c>
      <c r="C386" s="293"/>
      <c r="D386" s="293"/>
      <c r="E386" s="248"/>
      <c r="F386" s="199">
        <f t="shared" si="99"/>
        <v>0</v>
      </c>
      <c r="G386" s="275"/>
      <c r="H386" s="328"/>
    </row>
    <row r="387" spans="1:8" x14ac:dyDescent="0.25">
      <c r="A387" s="217"/>
      <c r="B387" s="294" t="s">
        <v>14</v>
      </c>
      <c r="C387" s="290">
        <f t="shared" ref="C387:D387" si="101">SUM(C388)</f>
        <v>1614.4680000000001</v>
      </c>
      <c r="D387" s="290">
        <f t="shared" si="101"/>
        <v>1183.721</v>
      </c>
      <c r="E387" s="283">
        <f t="shared" ref="E387:E388" si="102">SUM(D387/C387*100)</f>
        <v>73.319570285691626</v>
      </c>
      <c r="F387" s="201">
        <f t="shared" si="99"/>
        <v>430.74700000000007</v>
      </c>
      <c r="G387" s="275"/>
      <c r="H387" s="328"/>
    </row>
    <row r="388" spans="1:8" ht="63" x14ac:dyDescent="0.25">
      <c r="A388" s="217"/>
      <c r="B388" s="295" t="s">
        <v>15</v>
      </c>
      <c r="C388" s="402">
        <v>1614.4680000000001</v>
      </c>
      <c r="D388" s="403">
        <v>1183.721</v>
      </c>
      <c r="E388" s="248">
        <f t="shared" si="102"/>
        <v>73.319570285691626</v>
      </c>
      <c r="F388" s="199">
        <f t="shared" si="99"/>
        <v>430.74700000000007</v>
      </c>
      <c r="G388" s="275" t="s">
        <v>1167</v>
      </c>
      <c r="H388" s="328"/>
    </row>
    <row r="389" spans="1:8" hidden="1" x14ac:dyDescent="0.25">
      <c r="A389" s="217"/>
      <c r="B389" s="294" t="s">
        <v>16</v>
      </c>
      <c r="C389" s="291"/>
      <c r="D389" s="291"/>
      <c r="E389" s="196"/>
      <c r="F389" s="201">
        <f t="shared" si="99"/>
        <v>0</v>
      </c>
      <c r="G389" s="217"/>
      <c r="H389" s="328"/>
    </row>
    <row r="390" spans="1:8" ht="31.5" hidden="1" x14ac:dyDescent="0.25">
      <c r="A390" s="217"/>
      <c r="B390" s="295" t="s">
        <v>17</v>
      </c>
      <c r="C390" s="293"/>
      <c r="D390" s="293"/>
      <c r="E390" s="198"/>
      <c r="F390" s="199">
        <f t="shared" si="99"/>
        <v>0</v>
      </c>
      <c r="G390" s="341"/>
      <c r="H390" s="328"/>
    </row>
    <row r="391" spans="1:8" ht="31.5" hidden="1" x14ac:dyDescent="0.25">
      <c r="A391" s="217"/>
      <c r="B391" s="294" t="s">
        <v>18</v>
      </c>
      <c r="C391" s="291"/>
      <c r="D391" s="291"/>
      <c r="E391" s="296"/>
      <c r="F391" s="247">
        <f t="shared" si="99"/>
        <v>0</v>
      </c>
      <c r="G391" s="341"/>
      <c r="H391" s="328"/>
    </row>
    <row r="392" spans="1:8" ht="31.5" hidden="1" x14ac:dyDescent="0.25">
      <c r="A392" s="217"/>
      <c r="B392" s="295" t="s">
        <v>19</v>
      </c>
      <c r="C392" s="293"/>
      <c r="D392" s="293"/>
      <c r="E392" s="198"/>
      <c r="F392" s="199">
        <f t="shared" si="99"/>
        <v>0</v>
      </c>
      <c r="G392" s="341"/>
      <c r="H392" s="328"/>
    </row>
    <row r="393" spans="1:8" x14ac:dyDescent="0.25">
      <c r="A393" s="217"/>
      <c r="B393" s="294" t="s">
        <v>20</v>
      </c>
      <c r="C393" s="291">
        <f>SUM(C394:C395)</f>
        <v>3397.86</v>
      </c>
      <c r="D393" s="291">
        <f>SUM(D394:D395)</f>
        <v>3397.86</v>
      </c>
      <c r="E393" s="283">
        <f t="shared" ref="E393:E397" si="103">SUM(D393/C393*100)</f>
        <v>100</v>
      </c>
      <c r="F393" s="201">
        <f t="shared" si="99"/>
        <v>0</v>
      </c>
      <c r="G393" s="217"/>
      <c r="H393" s="328"/>
    </row>
    <row r="394" spans="1:8" ht="31.5" hidden="1" x14ac:dyDescent="0.25">
      <c r="A394" s="217"/>
      <c r="B394" s="295" t="s">
        <v>21</v>
      </c>
      <c r="C394" s="293"/>
      <c r="D394" s="293"/>
      <c r="E394" s="248"/>
      <c r="F394" s="199">
        <f t="shared" si="99"/>
        <v>0</v>
      </c>
      <c r="G394" s="217"/>
      <c r="H394" s="328"/>
    </row>
    <row r="395" spans="1:8" ht="31.5" x14ac:dyDescent="0.25">
      <c r="A395" s="217"/>
      <c r="B395" s="295" t="s">
        <v>22</v>
      </c>
      <c r="C395" s="293">
        <v>3397.86</v>
      </c>
      <c r="D395" s="293">
        <v>3397.86</v>
      </c>
      <c r="E395" s="248">
        <f>SUM(D395/C395*100)</f>
        <v>100</v>
      </c>
      <c r="F395" s="199">
        <f t="shared" si="99"/>
        <v>0</v>
      </c>
      <c r="G395" s="275" t="s">
        <v>940</v>
      </c>
      <c r="H395" s="328"/>
    </row>
    <row r="396" spans="1:8" x14ac:dyDescent="0.25">
      <c r="A396" s="217"/>
      <c r="B396" s="294" t="s">
        <v>23</v>
      </c>
      <c r="C396" s="297">
        <v>1000</v>
      </c>
      <c r="D396" s="297">
        <f>SUM(D397)</f>
        <v>996.56</v>
      </c>
      <c r="E396" s="283">
        <f t="shared" si="103"/>
        <v>99.655999999999992</v>
      </c>
      <c r="F396" s="201">
        <f t="shared" si="99"/>
        <v>3.4400000000000546</v>
      </c>
      <c r="G396" s="243"/>
      <c r="H396" s="328"/>
    </row>
    <row r="397" spans="1:8" ht="47.25" x14ac:dyDescent="0.25">
      <c r="A397" s="217"/>
      <c r="B397" s="292" t="s">
        <v>24</v>
      </c>
      <c r="C397" s="35">
        <v>1000</v>
      </c>
      <c r="D397" s="402">
        <v>996.56</v>
      </c>
      <c r="E397" s="248">
        <f t="shared" si="103"/>
        <v>99.655999999999992</v>
      </c>
      <c r="F397" s="199">
        <f t="shared" si="99"/>
        <v>3.4400000000000546</v>
      </c>
      <c r="G397" s="243"/>
      <c r="H397" s="328"/>
    </row>
    <row r="398" spans="1:8" ht="31.5" x14ac:dyDescent="0.25">
      <c r="A398" s="326">
        <v>15</v>
      </c>
      <c r="B398" s="736" t="s">
        <v>35</v>
      </c>
      <c r="C398" s="32">
        <f>SUM(C399:C401)</f>
        <v>11515.76791</v>
      </c>
      <c r="D398" s="488">
        <f>SUM(D399:D401)</f>
        <v>11190.716260000001</v>
      </c>
      <c r="E398" s="192">
        <f>SUM(D398/C398*100)</f>
        <v>97.17733413402911</v>
      </c>
      <c r="F398" s="193">
        <f t="shared" si="99"/>
        <v>325.05164999999943</v>
      </c>
      <c r="G398" s="288"/>
      <c r="H398" s="338" t="s">
        <v>1033</v>
      </c>
    </row>
    <row r="399" spans="1:8" ht="224.25" customHeight="1" x14ac:dyDescent="0.25">
      <c r="A399" s="217"/>
      <c r="B399" s="342" t="s">
        <v>36</v>
      </c>
      <c r="C399" s="30">
        <v>3983.1479100000001</v>
      </c>
      <c r="D399" s="408">
        <v>3866.08167</v>
      </c>
      <c r="E399" s="248">
        <f t="shared" ref="E399:E401" si="104">SUM(D399/C399*100)</f>
        <v>97.060961765790907</v>
      </c>
      <c r="F399" s="199">
        <f>C399-D399</f>
        <v>117.06624000000011</v>
      </c>
      <c r="G399" s="410" t="s">
        <v>1076</v>
      </c>
      <c r="H399" s="328"/>
    </row>
    <row r="400" spans="1:8" ht="180" customHeight="1" x14ac:dyDescent="0.25">
      <c r="A400" s="217"/>
      <c r="B400" s="342" t="s">
        <v>37</v>
      </c>
      <c r="C400" s="155">
        <v>1215.53</v>
      </c>
      <c r="D400" s="408">
        <v>1007.54955</v>
      </c>
      <c r="E400" s="248">
        <f>SUM(D400/C400*100)</f>
        <v>82.889731228353057</v>
      </c>
      <c r="F400" s="199">
        <f t="shared" si="99"/>
        <v>207.98045000000002</v>
      </c>
      <c r="G400" s="411" t="s">
        <v>1074</v>
      </c>
      <c r="H400" s="328"/>
    </row>
    <row r="401" spans="1:8" ht="78.75" x14ac:dyDescent="0.25">
      <c r="A401" s="217"/>
      <c r="B401" s="342" t="s">
        <v>38</v>
      </c>
      <c r="C401" s="155">
        <v>6317.09</v>
      </c>
      <c r="D401" s="408">
        <v>6317.0850399999999</v>
      </c>
      <c r="E401" s="248">
        <f t="shared" si="104"/>
        <v>99.999921482834651</v>
      </c>
      <c r="F401" s="199">
        <f t="shared" si="99"/>
        <v>4.9600000002101297E-3</v>
      </c>
      <c r="G401" s="410" t="s">
        <v>1075</v>
      </c>
      <c r="H401" s="328"/>
    </row>
    <row r="402" spans="1:8" x14ac:dyDescent="0.25">
      <c r="A402" s="144">
        <v>16</v>
      </c>
      <c r="B402" s="189" t="s">
        <v>998</v>
      </c>
      <c r="C402" s="20">
        <f>SUM(C403+C406+C408+C410)</f>
        <v>75</v>
      </c>
      <c r="D402" s="20">
        <f>SUM(D403+D406+D408+D410)</f>
        <v>75</v>
      </c>
      <c r="E402" s="192">
        <v>100</v>
      </c>
      <c r="F402" s="193">
        <f t="shared" si="99"/>
        <v>0</v>
      </c>
      <c r="G402" s="242"/>
      <c r="H402" s="338" t="s">
        <v>1023</v>
      </c>
    </row>
    <row r="403" spans="1:8" x14ac:dyDescent="0.25">
      <c r="A403" s="188"/>
      <c r="B403" s="298" t="s">
        <v>43</v>
      </c>
      <c r="C403" s="299">
        <v>25</v>
      </c>
      <c r="D403" s="299">
        <v>25</v>
      </c>
      <c r="E403" s="286">
        <f t="shared" ref="E403:E407" si="105">SUM(D403/C403*100)</f>
        <v>100</v>
      </c>
      <c r="F403" s="300">
        <f t="shared" si="99"/>
        <v>0</v>
      </c>
      <c r="G403" s="275" t="s">
        <v>940</v>
      </c>
      <c r="H403" s="328"/>
    </row>
    <row r="404" spans="1:8" ht="47.25" x14ac:dyDescent="0.25">
      <c r="A404" s="188"/>
      <c r="B404" s="3" t="s">
        <v>44</v>
      </c>
      <c r="C404" s="188">
        <v>20</v>
      </c>
      <c r="D404" s="301">
        <v>20</v>
      </c>
      <c r="E404" s="286">
        <f t="shared" si="105"/>
        <v>100</v>
      </c>
      <c r="F404" s="287">
        <f t="shared" si="99"/>
        <v>0</v>
      </c>
      <c r="G404" s="275" t="s">
        <v>940</v>
      </c>
      <c r="H404" s="328"/>
    </row>
    <row r="405" spans="1:8" ht="31.5" x14ac:dyDescent="0.25">
      <c r="A405" s="188"/>
      <c r="B405" s="4" t="s">
        <v>45</v>
      </c>
      <c r="C405" s="188">
        <v>5</v>
      </c>
      <c r="D405" s="301">
        <v>5</v>
      </c>
      <c r="E405" s="286">
        <f t="shared" si="105"/>
        <v>100</v>
      </c>
      <c r="F405" s="287">
        <f t="shared" si="99"/>
        <v>0</v>
      </c>
      <c r="G405" s="275" t="s">
        <v>940</v>
      </c>
      <c r="H405" s="328"/>
    </row>
    <row r="406" spans="1:8" x14ac:dyDescent="0.25">
      <c r="A406" s="203"/>
      <c r="B406" s="204" t="s">
        <v>48</v>
      </c>
      <c r="C406" s="302">
        <v>10</v>
      </c>
      <c r="D406" s="299">
        <v>10</v>
      </c>
      <c r="E406" s="303">
        <f t="shared" si="105"/>
        <v>100</v>
      </c>
      <c r="F406" s="300">
        <f t="shared" si="99"/>
        <v>0</v>
      </c>
      <c r="G406" s="275" t="s">
        <v>940</v>
      </c>
      <c r="H406" s="328"/>
    </row>
    <row r="407" spans="1:8" ht="31.5" x14ac:dyDescent="0.25">
      <c r="A407" s="188"/>
      <c r="B407" s="3" t="s">
        <v>49</v>
      </c>
      <c r="C407" s="188">
        <v>10</v>
      </c>
      <c r="D407" s="301">
        <v>10</v>
      </c>
      <c r="E407" s="286">
        <f t="shared" si="105"/>
        <v>100</v>
      </c>
      <c r="F407" s="287">
        <f t="shared" si="99"/>
        <v>0</v>
      </c>
      <c r="G407" s="275" t="s">
        <v>940</v>
      </c>
      <c r="H407" s="328"/>
    </row>
    <row r="408" spans="1:8" x14ac:dyDescent="0.25">
      <c r="A408" s="188"/>
      <c r="B408" s="194" t="s">
        <v>50</v>
      </c>
      <c r="C408" s="299">
        <v>20</v>
      </c>
      <c r="D408" s="301">
        <v>20</v>
      </c>
      <c r="E408" s="303">
        <f>SUM(D408/C408*100)</f>
        <v>100</v>
      </c>
      <c r="F408" s="300">
        <f t="shared" si="99"/>
        <v>0</v>
      </c>
      <c r="G408" s="275" t="s">
        <v>940</v>
      </c>
      <c r="H408" s="328"/>
    </row>
    <row r="409" spans="1:8" ht="31.5" x14ac:dyDescent="0.25">
      <c r="A409" s="188"/>
      <c r="B409" s="3" t="s">
        <v>51</v>
      </c>
      <c r="C409" s="188">
        <v>20</v>
      </c>
      <c r="D409" s="301">
        <v>20</v>
      </c>
      <c r="E409" s="217"/>
      <c r="F409" s="287">
        <f t="shared" si="99"/>
        <v>0</v>
      </c>
      <c r="G409" s="275" t="s">
        <v>940</v>
      </c>
      <c r="H409" s="328"/>
    </row>
    <row r="410" spans="1:8" x14ac:dyDescent="0.25">
      <c r="A410" s="188"/>
      <c r="B410" s="194" t="s">
        <v>52</v>
      </c>
      <c r="C410" s="299">
        <v>20</v>
      </c>
      <c r="D410" s="304">
        <v>20</v>
      </c>
      <c r="E410" s="303">
        <f t="shared" ref="E410:E411" si="106">SUM(D410/C410*100)</f>
        <v>100</v>
      </c>
      <c r="F410" s="305">
        <f t="shared" si="99"/>
        <v>0</v>
      </c>
      <c r="G410" s="275" t="s">
        <v>940</v>
      </c>
      <c r="H410" s="328"/>
    </row>
    <row r="411" spans="1:8" x14ac:dyDescent="0.25">
      <c r="A411" s="188"/>
      <c r="B411" s="3" t="s">
        <v>53</v>
      </c>
      <c r="C411" s="188">
        <v>20</v>
      </c>
      <c r="D411" s="306">
        <v>20</v>
      </c>
      <c r="E411" s="286">
        <f t="shared" si="106"/>
        <v>100</v>
      </c>
      <c r="F411" s="287">
        <f t="shared" si="99"/>
        <v>0</v>
      </c>
      <c r="G411" s="275" t="s">
        <v>940</v>
      </c>
      <c r="H411" s="328"/>
    </row>
    <row r="412" spans="1:8" ht="47.25" customHeight="1" x14ac:dyDescent="0.25">
      <c r="A412" s="326">
        <v>17</v>
      </c>
      <c r="B412" s="133" t="s">
        <v>1009</v>
      </c>
      <c r="C412" s="36">
        <f>SUM(C413:C419)</f>
        <v>286.601</v>
      </c>
      <c r="D412" s="36">
        <f>SUM(D414+D415+D417+D419)</f>
        <v>286.601</v>
      </c>
      <c r="E412" s="249">
        <f>SUM(D412/C412*100)</f>
        <v>100</v>
      </c>
      <c r="F412" s="193">
        <f t="shared" si="99"/>
        <v>0</v>
      </c>
      <c r="G412" s="242"/>
      <c r="H412" s="338" t="s">
        <v>999</v>
      </c>
    </row>
    <row r="413" spans="1:8" hidden="1" x14ac:dyDescent="0.25">
      <c r="A413" s="326"/>
      <c r="B413" s="9" t="s">
        <v>57</v>
      </c>
      <c r="C413" s="307">
        <v>0</v>
      </c>
      <c r="D413" s="301">
        <v>0</v>
      </c>
      <c r="E413" s="286" t="e">
        <f t="shared" ref="E413:E516" si="107">SUM(D413/C413*100)</f>
        <v>#DIV/0!</v>
      </c>
      <c r="F413" s="287">
        <f t="shared" si="99"/>
        <v>0</v>
      </c>
      <c r="G413" s="275" t="s">
        <v>940</v>
      </c>
      <c r="H413" s="334"/>
    </row>
    <row r="414" spans="1:8" ht="31.5" x14ac:dyDescent="0.25">
      <c r="A414" s="326"/>
      <c r="B414" s="166" t="s">
        <v>1000</v>
      </c>
      <c r="C414" s="391">
        <v>92.3</v>
      </c>
      <c r="D414" s="391">
        <v>92.3</v>
      </c>
      <c r="E414" s="248">
        <f t="shared" si="107"/>
        <v>100</v>
      </c>
      <c r="F414" s="287">
        <f t="shared" si="99"/>
        <v>0</v>
      </c>
      <c r="G414" s="275" t="s">
        <v>940</v>
      </c>
      <c r="H414" s="335"/>
    </row>
    <row r="415" spans="1:8" x14ac:dyDescent="0.25">
      <c r="A415" s="326"/>
      <c r="B415" s="166" t="s">
        <v>58</v>
      </c>
      <c r="C415" s="391">
        <v>158.86099999999999</v>
      </c>
      <c r="D415" s="391">
        <v>158.86099999999999</v>
      </c>
      <c r="E415" s="248">
        <f t="shared" si="107"/>
        <v>100</v>
      </c>
      <c r="F415" s="287">
        <f t="shared" si="99"/>
        <v>0</v>
      </c>
      <c r="G415" s="275" t="s">
        <v>940</v>
      </c>
      <c r="H415" s="328"/>
    </row>
    <row r="416" spans="1:8" ht="31.5" hidden="1" x14ac:dyDescent="0.25">
      <c r="A416" s="326"/>
      <c r="B416" s="166" t="s">
        <v>59</v>
      </c>
      <c r="C416" s="407"/>
      <c r="D416" s="188">
        <v>0</v>
      </c>
      <c r="E416" s="286" t="e">
        <f t="shared" si="107"/>
        <v>#DIV/0!</v>
      </c>
      <c r="F416" s="287">
        <f t="shared" si="99"/>
        <v>0</v>
      </c>
      <c r="G416" s="275" t="s">
        <v>940</v>
      </c>
      <c r="H416" s="328"/>
    </row>
    <row r="417" spans="1:8" ht="31.5" x14ac:dyDescent="0.25">
      <c r="A417" s="326"/>
      <c r="B417" s="166" t="s">
        <v>60</v>
      </c>
      <c r="C417" s="403">
        <v>30.596</v>
      </c>
      <c r="D417" s="403">
        <v>30.596</v>
      </c>
      <c r="E417" s="286">
        <f t="shared" si="107"/>
        <v>100</v>
      </c>
      <c r="F417" s="287">
        <f t="shared" si="99"/>
        <v>0</v>
      </c>
      <c r="G417" s="275" t="s">
        <v>940</v>
      </c>
      <c r="H417" s="328"/>
    </row>
    <row r="418" spans="1:8" ht="31.5" hidden="1" x14ac:dyDescent="0.25">
      <c r="A418" s="326"/>
      <c r="B418" s="721" t="s">
        <v>1070</v>
      </c>
      <c r="C418" s="10"/>
      <c r="D418" s="188"/>
      <c r="E418" s="286"/>
      <c r="F418" s="287"/>
      <c r="G418" s="275"/>
      <c r="H418" s="328"/>
    </row>
    <row r="419" spans="1:8" ht="31.5" x14ac:dyDescent="0.25">
      <c r="A419" s="326"/>
      <c r="B419" s="714" t="s">
        <v>1088</v>
      </c>
      <c r="C419" s="403">
        <v>4.8440000000000003</v>
      </c>
      <c r="D419" s="188">
        <v>4.8440000000000003</v>
      </c>
      <c r="E419" s="286">
        <f t="shared" si="107"/>
        <v>100</v>
      </c>
      <c r="F419" s="287">
        <f t="shared" si="99"/>
        <v>0</v>
      </c>
      <c r="G419" s="275" t="s">
        <v>940</v>
      </c>
      <c r="H419" s="328"/>
    </row>
    <row r="420" spans="1:8" ht="31.5" x14ac:dyDescent="0.25">
      <c r="A420" s="112">
        <v>18</v>
      </c>
      <c r="B420" s="167" t="s">
        <v>1001</v>
      </c>
      <c r="C420" s="51">
        <f>SUM(C421:C423)</f>
        <v>100</v>
      </c>
      <c r="D420" s="51">
        <f>SUM(D421:D423)</f>
        <v>99.996000000000009</v>
      </c>
      <c r="E420" s="249">
        <f t="shared" si="107"/>
        <v>99.996000000000009</v>
      </c>
      <c r="F420" s="193">
        <f>C420-D420</f>
        <v>3.9999999999906777E-3</v>
      </c>
      <c r="G420" s="242"/>
      <c r="H420" s="338" t="s">
        <v>924</v>
      </c>
    </row>
    <row r="421" spans="1:8" ht="47.25" x14ac:dyDescent="0.25">
      <c r="A421" s="112"/>
      <c r="B421" s="316" t="s">
        <v>163</v>
      </c>
      <c r="C421" s="412">
        <v>40</v>
      </c>
      <c r="D421" s="412">
        <v>40</v>
      </c>
      <c r="E421" s="276">
        <f t="shared" si="107"/>
        <v>100</v>
      </c>
      <c r="F421" s="207">
        <f t="shared" ref="F421:F514" si="108">C421-D421</f>
        <v>0</v>
      </c>
      <c r="G421" s="188" t="s">
        <v>940</v>
      </c>
      <c r="H421" s="328"/>
    </row>
    <row r="422" spans="1:8" ht="31.5" x14ac:dyDescent="0.25">
      <c r="A422" s="112"/>
      <c r="B422" s="316" t="s">
        <v>164</v>
      </c>
      <c r="C422" s="412">
        <v>20</v>
      </c>
      <c r="D422" s="412">
        <v>20</v>
      </c>
      <c r="E422" s="276">
        <f t="shared" si="107"/>
        <v>100</v>
      </c>
      <c r="F422" s="207">
        <f t="shared" si="108"/>
        <v>0</v>
      </c>
      <c r="G422" s="188" t="s">
        <v>940</v>
      </c>
      <c r="H422" s="328"/>
    </row>
    <row r="423" spans="1:8" ht="31.5" x14ac:dyDescent="0.25">
      <c r="A423" s="112"/>
      <c r="B423" s="316" t="s">
        <v>165</v>
      </c>
      <c r="C423" s="412">
        <v>40</v>
      </c>
      <c r="D423" s="412">
        <v>39.996000000000002</v>
      </c>
      <c r="E423" s="276">
        <f t="shared" si="107"/>
        <v>99.99</v>
      </c>
      <c r="F423" s="207">
        <f t="shared" si="108"/>
        <v>3.9999999999977831E-3</v>
      </c>
      <c r="G423" s="188" t="s">
        <v>940</v>
      </c>
      <c r="H423" s="328"/>
    </row>
    <row r="424" spans="1:8" ht="47.25" x14ac:dyDescent="0.25">
      <c r="A424" s="112">
        <v>19</v>
      </c>
      <c r="B424" s="167" t="s">
        <v>381</v>
      </c>
      <c r="C424" s="109">
        <f>SUM(C425:C426)</f>
        <v>1143.6290300000001</v>
      </c>
      <c r="D424" s="109">
        <f>SUM(D425:D426)</f>
        <v>1143.62898</v>
      </c>
      <c r="E424" s="193">
        <f t="shared" si="107"/>
        <v>99.99999562795287</v>
      </c>
      <c r="F424" s="193">
        <f t="shared" si="108"/>
        <v>5.0000000101135811E-5</v>
      </c>
      <c r="G424" s="242"/>
      <c r="H424" s="20" t="s">
        <v>1002</v>
      </c>
    </row>
    <row r="425" spans="1:8" ht="31.5" x14ac:dyDescent="0.25">
      <c r="A425" s="188"/>
      <c r="B425" s="166" t="s">
        <v>1003</v>
      </c>
      <c r="C425" s="117">
        <v>505</v>
      </c>
      <c r="D425" s="117">
        <v>505</v>
      </c>
      <c r="E425" s="199">
        <f t="shared" si="107"/>
        <v>100</v>
      </c>
      <c r="F425" s="199">
        <f t="shared" si="108"/>
        <v>0</v>
      </c>
      <c r="G425" s="188" t="s">
        <v>940</v>
      </c>
      <c r="H425" s="326"/>
    </row>
    <row r="426" spans="1:8" ht="24" customHeight="1" x14ac:dyDescent="0.25">
      <c r="A426" s="188"/>
      <c r="B426" s="166" t="s">
        <v>136</v>
      </c>
      <c r="C426" s="117">
        <v>638.62902999999994</v>
      </c>
      <c r="D426" s="117">
        <v>638.62897999999996</v>
      </c>
      <c r="E426" s="199">
        <f t="shared" si="107"/>
        <v>99.999992170728603</v>
      </c>
      <c r="F426" s="199">
        <f t="shared" si="108"/>
        <v>4.9999999987448973E-5</v>
      </c>
      <c r="G426" s="188" t="s">
        <v>940</v>
      </c>
      <c r="H426" s="326"/>
    </row>
    <row r="427" spans="1:8" ht="54.75" customHeight="1" x14ac:dyDescent="0.25">
      <c r="A427" s="112">
        <v>20</v>
      </c>
      <c r="B427" s="167" t="s">
        <v>744</v>
      </c>
      <c r="C427" s="36">
        <f>SUM(C428:C428)</f>
        <v>306.31400000000002</v>
      </c>
      <c r="D427" s="36">
        <f>SUM(D428:D428)</f>
        <v>113.768</v>
      </c>
      <c r="E427" s="193">
        <f t="shared" si="107"/>
        <v>37.140972988501993</v>
      </c>
      <c r="F427" s="193">
        <f t="shared" si="108"/>
        <v>192.54600000000002</v>
      </c>
      <c r="G427" s="242"/>
      <c r="H427" s="20" t="s">
        <v>1004</v>
      </c>
    </row>
    <row r="428" spans="1:8" ht="70.5" customHeight="1" x14ac:dyDescent="0.25">
      <c r="A428" s="112"/>
      <c r="B428" s="737" t="s">
        <v>1018</v>
      </c>
      <c r="C428" s="248">
        <v>306.31400000000002</v>
      </c>
      <c r="D428" s="248">
        <v>113.768</v>
      </c>
      <c r="E428" s="199">
        <f t="shared" si="107"/>
        <v>37.140972988501993</v>
      </c>
      <c r="F428" s="199">
        <f t="shared" si="108"/>
        <v>192.54600000000002</v>
      </c>
      <c r="G428" s="144" t="s">
        <v>1175</v>
      </c>
      <c r="H428" s="328"/>
    </row>
    <row r="429" spans="1:8" ht="48.75" customHeight="1" x14ac:dyDescent="0.25">
      <c r="A429" s="446" t="s">
        <v>1005</v>
      </c>
      <c r="B429" s="20" t="s">
        <v>1166</v>
      </c>
      <c r="C429" s="32">
        <f>C430+C439+C453+C471+C507</f>
        <v>471049.32280999993</v>
      </c>
      <c r="D429" s="32">
        <f>D430+D439+D453+D471+D507</f>
        <v>469155.44436999992</v>
      </c>
      <c r="E429" s="222">
        <f>SUM(D429/C429*100)</f>
        <v>99.597944769625769</v>
      </c>
      <c r="F429" s="223">
        <f>C429-D429</f>
        <v>1893.8784400000004</v>
      </c>
      <c r="G429" s="309"/>
      <c r="H429" s="329" t="s">
        <v>1006</v>
      </c>
    </row>
    <row r="430" spans="1:8" ht="18.75" customHeight="1" x14ac:dyDescent="0.25">
      <c r="A430" s="443"/>
      <c r="B430" s="456" t="s">
        <v>328</v>
      </c>
      <c r="C430" s="452">
        <f>C431+C434+C437+C438</f>
        <v>135826.14382</v>
      </c>
      <c r="D430" s="452">
        <f>D431+D434+D437+D438</f>
        <v>135795.58372</v>
      </c>
      <c r="E430" s="240">
        <f t="shared" si="107"/>
        <v>99.977500576000665</v>
      </c>
      <c r="F430" s="226">
        <f t="shared" si="108"/>
        <v>30.560100000002421</v>
      </c>
      <c r="G430" s="922" t="s">
        <v>1178</v>
      </c>
      <c r="H430" s="339"/>
    </row>
    <row r="431" spans="1:8" ht="36.75" customHeight="1" x14ac:dyDescent="0.25">
      <c r="A431" s="444"/>
      <c r="B431" s="75" t="s">
        <v>329</v>
      </c>
      <c r="C431" s="86">
        <f>SUM(C432:C433)</f>
        <v>133930.00782</v>
      </c>
      <c r="D431" s="86">
        <f>SUM(D432:D433)</f>
        <v>133899.44772</v>
      </c>
      <c r="E431" s="241">
        <f>SUM(D431/C431*100)</f>
        <v>99.977182036723931</v>
      </c>
      <c r="F431" s="505">
        <f t="shared" si="108"/>
        <v>30.560100000002421</v>
      </c>
      <c r="G431" s="923"/>
      <c r="H431" s="340"/>
    </row>
    <row r="432" spans="1:8" ht="31.5" x14ac:dyDescent="0.25">
      <c r="A432" s="444"/>
      <c r="B432" s="455" t="s">
        <v>330</v>
      </c>
      <c r="C432" s="86">
        <f>133198.12938+242.665+177.15073-135+20+0.09875+146.74884+280.21512</f>
        <v>133930.00782</v>
      </c>
      <c r="D432" s="86">
        <f>133198.12938+242.665+177.15073-135+20+0.09875+146.74884+249.65502</f>
        <v>133899.44772</v>
      </c>
      <c r="E432" s="241">
        <f t="shared" si="107"/>
        <v>99.977182036723931</v>
      </c>
      <c r="F432" s="505">
        <f t="shared" si="108"/>
        <v>30.560100000002421</v>
      </c>
      <c r="G432" s="924"/>
      <c r="H432" s="340"/>
    </row>
    <row r="433" spans="1:8" ht="15.75" hidden="1" customHeight="1" x14ac:dyDescent="0.25">
      <c r="A433" s="444"/>
      <c r="B433" s="455" t="s">
        <v>331</v>
      </c>
      <c r="C433" s="453"/>
      <c r="D433" s="453"/>
      <c r="E433" s="241" t="e">
        <f>SUM(D433/C433*100)</f>
        <v>#DIV/0!</v>
      </c>
      <c r="F433" s="505">
        <f t="shared" si="108"/>
        <v>0</v>
      </c>
      <c r="G433" s="188" t="s">
        <v>940</v>
      </c>
      <c r="H433" s="340"/>
    </row>
    <row r="434" spans="1:8" ht="51" customHeight="1" x14ac:dyDescent="0.25">
      <c r="A434" s="444"/>
      <c r="B434" s="75" t="s">
        <v>332</v>
      </c>
      <c r="C434" s="86">
        <f>SUM(C435:C436)</f>
        <v>1896.136</v>
      </c>
      <c r="D434" s="86">
        <f>SUM(D435:D436)</f>
        <v>1896.136</v>
      </c>
      <c r="E434" s="241">
        <f t="shared" si="107"/>
        <v>100</v>
      </c>
      <c r="F434" s="505">
        <f t="shared" si="108"/>
        <v>0</v>
      </c>
      <c r="G434" s="188" t="s">
        <v>940</v>
      </c>
      <c r="H434" s="340"/>
    </row>
    <row r="435" spans="1:8" x14ac:dyDescent="0.25">
      <c r="A435" s="446"/>
      <c r="B435" s="455" t="s">
        <v>333</v>
      </c>
      <c r="C435" s="86">
        <v>1896.136</v>
      </c>
      <c r="D435" s="86">
        <v>1896.136</v>
      </c>
      <c r="E435" s="240">
        <f t="shared" si="107"/>
        <v>100</v>
      </c>
      <c r="F435" s="226">
        <f t="shared" si="108"/>
        <v>0</v>
      </c>
      <c r="G435" s="188" t="s">
        <v>940</v>
      </c>
      <c r="H435" s="340"/>
    </row>
    <row r="436" spans="1:8" ht="47.25" hidden="1" x14ac:dyDescent="0.25">
      <c r="A436" s="446"/>
      <c r="B436" s="455" t="s">
        <v>334</v>
      </c>
      <c r="C436" s="86"/>
      <c r="D436" s="86"/>
      <c r="E436" s="240" t="e">
        <f t="shared" si="107"/>
        <v>#DIV/0!</v>
      </c>
      <c r="F436" s="226">
        <f t="shared" si="108"/>
        <v>0</v>
      </c>
      <c r="G436" s="188" t="s">
        <v>940</v>
      </c>
      <c r="H436" s="340"/>
    </row>
    <row r="437" spans="1:8" ht="33" hidden="1" customHeight="1" x14ac:dyDescent="0.25">
      <c r="A437" s="444"/>
      <c r="B437" s="75" t="s">
        <v>335</v>
      </c>
      <c r="C437" s="86"/>
      <c r="D437" s="86"/>
      <c r="E437" s="241" t="e">
        <f t="shared" si="107"/>
        <v>#DIV/0!</v>
      </c>
      <c r="F437" s="505">
        <f t="shared" si="108"/>
        <v>0</v>
      </c>
      <c r="G437" s="188" t="s">
        <v>940</v>
      </c>
      <c r="H437" s="340"/>
    </row>
    <row r="438" spans="1:8" hidden="1" x14ac:dyDescent="0.25">
      <c r="A438" s="444"/>
      <c r="B438" s="75" t="s">
        <v>336</v>
      </c>
      <c r="C438" s="86"/>
      <c r="D438" s="86"/>
      <c r="E438" s="241" t="e">
        <f t="shared" si="107"/>
        <v>#DIV/0!</v>
      </c>
      <c r="F438" s="505">
        <f t="shared" si="108"/>
        <v>0</v>
      </c>
      <c r="G438" s="188" t="s">
        <v>940</v>
      </c>
      <c r="H438" s="340"/>
    </row>
    <row r="439" spans="1:8" x14ac:dyDescent="0.25">
      <c r="A439" s="446"/>
      <c r="B439" s="457" t="s">
        <v>337</v>
      </c>
      <c r="C439" s="452">
        <f>C440+C443+C446+C448</f>
        <v>208098.55955999999</v>
      </c>
      <c r="D439" s="452">
        <f>D440+D443+D446+D448</f>
        <v>208098.55955999999</v>
      </c>
      <c r="E439" s="241">
        <f t="shared" si="107"/>
        <v>100</v>
      </c>
      <c r="F439" s="505">
        <f t="shared" si="108"/>
        <v>0</v>
      </c>
      <c r="G439" s="188"/>
      <c r="H439" s="340"/>
    </row>
    <row r="440" spans="1:8" ht="31.5" x14ac:dyDescent="0.25">
      <c r="A440" s="444"/>
      <c r="B440" s="75" t="s">
        <v>338</v>
      </c>
      <c r="C440" s="86">
        <f>SUM(C441:C442)</f>
        <v>203857.03143999999</v>
      </c>
      <c r="D440" s="86">
        <f>SUM(D441:D442)</f>
        <v>203857.03143999999</v>
      </c>
      <c r="E440" s="240">
        <f t="shared" si="107"/>
        <v>100</v>
      </c>
      <c r="F440" s="226">
        <f t="shared" si="108"/>
        <v>0</v>
      </c>
      <c r="G440" s="188" t="s">
        <v>940</v>
      </c>
      <c r="H440" s="340"/>
    </row>
    <row r="441" spans="1:8" ht="31.5" x14ac:dyDescent="0.25">
      <c r="A441" s="444"/>
      <c r="B441" s="455" t="s">
        <v>339</v>
      </c>
      <c r="C441" s="86">
        <f>171797.94606+20509.36125+649.447+539.56881-100-320-107.225+50+673.66815+869.16+9251.50817+6.79+36.807</f>
        <v>203857.03143999999</v>
      </c>
      <c r="D441" s="86">
        <f>171797.94606+20509.36125+649.447+539.56881-100-320-107.225+50+673.66815+869.16+9251.50817+6.79+36.807</f>
        <v>203857.03143999999</v>
      </c>
      <c r="E441" s="241">
        <f t="shared" si="107"/>
        <v>100</v>
      </c>
      <c r="F441" s="505">
        <f t="shared" si="108"/>
        <v>0</v>
      </c>
      <c r="G441" s="188" t="s">
        <v>940</v>
      </c>
      <c r="H441" s="340"/>
    </row>
    <row r="442" spans="1:8" x14ac:dyDescent="0.25">
      <c r="A442" s="446"/>
      <c r="B442" s="455" t="s">
        <v>340</v>
      </c>
      <c r="C442" s="86"/>
      <c r="D442" s="86"/>
      <c r="E442" s="241"/>
      <c r="F442" s="505"/>
      <c r="G442" s="188"/>
      <c r="H442" s="340"/>
    </row>
    <row r="443" spans="1:8" ht="31.5" x14ac:dyDescent="0.25">
      <c r="A443" s="444"/>
      <c r="B443" s="75" t="s">
        <v>341</v>
      </c>
      <c r="C443" s="86">
        <f>C444+C445</f>
        <v>3749.6561200000001</v>
      </c>
      <c r="D443" s="86">
        <f>D444+D445</f>
        <v>3749.6561200000001</v>
      </c>
      <c r="E443" s="240">
        <f t="shared" si="107"/>
        <v>100</v>
      </c>
      <c r="F443" s="226">
        <f t="shared" si="108"/>
        <v>0</v>
      </c>
      <c r="G443" s="188" t="s">
        <v>940</v>
      </c>
      <c r="H443" s="340"/>
    </row>
    <row r="444" spans="1:8" x14ac:dyDescent="0.25">
      <c r="A444" s="444"/>
      <c r="B444" s="455" t="s">
        <v>342</v>
      </c>
      <c r="C444" s="86">
        <f>3749.65612</f>
        <v>3749.6561200000001</v>
      </c>
      <c r="D444" s="86">
        <f>3749.65612</f>
        <v>3749.6561200000001</v>
      </c>
      <c r="E444" s="241">
        <f>SUM(D444/C444*100)</f>
        <v>100</v>
      </c>
      <c r="F444" s="505">
        <f t="shared" si="108"/>
        <v>0</v>
      </c>
      <c r="G444" s="188" t="s">
        <v>940</v>
      </c>
      <c r="H444" s="340"/>
    </row>
    <row r="445" spans="1:8" ht="47.25" hidden="1" x14ac:dyDescent="0.25">
      <c r="A445" s="444"/>
      <c r="B445" s="455" t="s">
        <v>343</v>
      </c>
      <c r="C445" s="86"/>
      <c r="D445" s="86"/>
      <c r="E445" s="241" t="e">
        <f t="shared" ref="E445:E446" si="109">SUM(D445/C445*100)</f>
        <v>#DIV/0!</v>
      </c>
      <c r="F445" s="505">
        <f t="shared" si="108"/>
        <v>0</v>
      </c>
      <c r="G445" s="188" t="s">
        <v>940</v>
      </c>
      <c r="H445" s="340"/>
    </row>
    <row r="446" spans="1:8" ht="31.5" x14ac:dyDescent="0.25">
      <c r="A446" s="444"/>
      <c r="B446" s="75" t="s">
        <v>344</v>
      </c>
      <c r="C446" s="86">
        <v>31.872</v>
      </c>
      <c r="D446" s="86">
        <v>31.872</v>
      </c>
      <c r="E446" s="241">
        <f t="shared" si="109"/>
        <v>100</v>
      </c>
      <c r="F446" s="505">
        <f t="shared" si="108"/>
        <v>0</v>
      </c>
      <c r="G446" s="188" t="s">
        <v>940</v>
      </c>
      <c r="H446" s="340"/>
    </row>
    <row r="447" spans="1:8" ht="47.25" x14ac:dyDescent="0.25">
      <c r="A447" s="446"/>
      <c r="B447" s="75" t="s">
        <v>345</v>
      </c>
      <c r="C447" s="86"/>
      <c r="D447" s="86"/>
      <c r="E447" s="241"/>
      <c r="F447" s="505"/>
      <c r="G447" s="188"/>
      <c r="H447" s="340"/>
    </row>
    <row r="448" spans="1:8" x14ac:dyDescent="0.25">
      <c r="A448" s="917"/>
      <c r="B448" s="75" t="s">
        <v>346</v>
      </c>
      <c r="C448" s="86">
        <f>C449</f>
        <v>460</v>
      </c>
      <c r="D448" s="86">
        <f>D449</f>
        <v>460</v>
      </c>
      <c r="E448" s="240">
        <f t="shared" si="107"/>
        <v>100</v>
      </c>
      <c r="F448" s="226">
        <f t="shared" si="108"/>
        <v>0</v>
      </c>
      <c r="G448" s="188" t="s">
        <v>940</v>
      </c>
      <c r="H448" s="340"/>
    </row>
    <row r="449" spans="1:8" ht="31.5" x14ac:dyDescent="0.25">
      <c r="A449" s="917"/>
      <c r="B449" s="455" t="s">
        <v>347</v>
      </c>
      <c r="C449" s="86">
        <f>250+30+180</f>
        <v>460</v>
      </c>
      <c r="D449" s="86">
        <f>250+30+180</f>
        <v>460</v>
      </c>
      <c r="E449" s="241">
        <f t="shared" si="107"/>
        <v>100</v>
      </c>
      <c r="F449" s="505">
        <f t="shared" si="108"/>
        <v>0</v>
      </c>
      <c r="G449" s="188" t="s">
        <v>940</v>
      </c>
      <c r="H449" s="340"/>
    </row>
    <row r="450" spans="1:8" x14ac:dyDescent="0.25">
      <c r="A450" s="917"/>
      <c r="B450" s="87" t="s">
        <v>1091</v>
      </c>
      <c r="C450" s="86">
        <v>250</v>
      </c>
      <c r="D450" s="86">
        <v>250</v>
      </c>
      <c r="E450" s="241">
        <f t="shared" si="107"/>
        <v>100</v>
      </c>
      <c r="F450" s="505">
        <f t="shared" si="108"/>
        <v>0</v>
      </c>
      <c r="G450" s="188" t="s">
        <v>940</v>
      </c>
      <c r="H450" s="340"/>
    </row>
    <row r="451" spans="1:8" ht="31.5" x14ac:dyDescent="0.25">
      <c r="A451" s="917"/>
      <c r="B451" s="720" t="s">
        <v>1092</v>
      </c>
      <c r="C451" s="86">
        <v>180</v>
      </c>
      <c r="D451" s="86">
        <v>180</v>
      </c>
      <c r="E451" s="241">
        <f t="shared" si="107"/>
        <v>100</v>
      </c>
      <c r="F451" s="505">
        <f t="shared" si="108"/>
        <v>0</v>
      </c>
      <c r="G451" s="188" t="s">
        <v>940</v>
      </c>
      <c r="H451" s="340"/>
    </row>
    <row r="452" spans="1:8" x14ac:dyDescent="0.25">
      <c r="A452" s="917"/>
      <c r="B452" s="720" t="s">
        <v>1093</v>
      </c>
      <c r="C452" s="86">
        <v>30</v>
      </c>
      <c r="D452" s="86">
        <v>30</v>
      </c>
      <c r="E452" s="241">
        <f t="shared" si="107"/>
        <v>100</v>
      </c>
      <c r="F452" s="505">
        <f t="shared" si="108"/>
        <v>0</v>
      </c>
      <c r="G452" s="188" t="s">
        <v>940</v>
      </c>
      <c r="H452" s="340"/>
    </row>
    <row r="453" spans="1:8" x14ac:dyDescent="0.25">
      <c r="A453" s="447"/>
      <c r="B453" s="457" t="s">
        <v>348</v>
      </c>
      <c r="C453" s="451">
        <f>C454+C456+C459+C460+C464</f>
        <v>77408.60656</v>
      </c>
      <c r="D453" s="451">
        <f>D454+D456+D459+D460+D464</f>
        <v>77408.60656</v>
      </c>
      <c r="E453" s="241">
        <f t="shared" si="107"/>
        <v>100</v>
      </c>
      <c r="F453" s="505">
        <f t="shared" si="108"/>
        <v>0</v>
      </c>
      <c r="G453" s="188" t="s">
        <v>940</v>
      </c>
      <c r="H453" s="340"/>
    </row>
    <row r="454" spans="1:8" ht="31.5" x14ac:dyDescent="0.25">
      <c r="A454" s="447"/>
      <c r="B454" s="75" t="s">
        <v>349</v>
      </c>
      <c r="C454" s="86">
        <f>C455</f>
        <v>75668.66952000001</v>
      </c>
      <c r="D454" s="86">
        <f>D455</f>
        <v>75668.66952000001</v>
      </c>
      <c r="E454" s="240">
        <f t="shared" si="107"/>
        <v>100</v>
      </c>
      <c r="F454" s="226">
        <f t="shared" si="108"/>
        <v>0</v>
      </c>
      <c r="G454" s="188" t="s">
        <v>940</v>
      </c>
      <c r="H454" s="340"/>
    </row>
    <row r="455" spans="1:8" ht="31.5" x14ac:dyDescent="0.25">
      <c r="A455" s="917"/>
      <c r="B455" s="455" t="s">
        <v>350</v>
      </c>
      <c r="C455" s="86">
        <f>75279.06952+389.6</f>
        <v>75668.66952000001</v>
      </c>
      <c r="D455" s="86">
        <f>75279.06952+389.6</f>
        <v>75668.66952000001</v>
      </c>
      <c r="E455" s="241">
        <f t="shared" si="107"/>
        <v>100</v>
      </c>
      <c r="F455" s="505">
        <f t="shared" si="108"/>
        <v>0</v>
      </c>
      <c r="G455" s="188" t="s">
        <v>940</v>
      </c>
      <c r="H455" s="340"/>
    </row>
    <row r="456" spans="1:8" ht="31.5" x14ac:dyDescent="0.25">
      <c r="A456" s="917"/>
      <c r="B456" s="75" t="s">
        <v>341</v>
      </c>
      <c r="C456" s="86">
        <f>C457+C458</f>
        <v>761.56304</v>
      </c>
      <c r="D456" s="86">
        <f>D457+D458</f>
        <v>761.56304</v>
      </c>
      <c r="E456" s="241">
        <f t="shared" si="107"/>
        <v>100</v>
      </c>
      <c r="F456" s="505">
        <f t="shared" si="108"/>
        <v>0</v>
      </c>
      <c r="G456" s="188" t="s">
        <v>940</v>
      </c>
      <c r="H456" s="448"/>
    </row>
    <row r="457" spans="1:8" ht="28.5" customHeight="1" x14ac:dyDescent="0.25">
      <c r="A457" s="917"/>
      <c r="B457" s="455" t="s">
        <v>342</v>
      </c>
      <c r="C457" s="86">
        <v>761.56304</v>
      </c>
      <c r="D457" s="86">
        <v>761.56304</v>
      </c>
      <c r="E457" s="241">
        <f t="shared" si="107"/>
        <v>100</v>
      </c>
      <c r="F457" s="505">
        <f t="shared" si="108"/>
        <v>0</v>
      </c>
      <c r="G457" s="711" t="s">
        <v>940</v>
      </c>
      <c r="H457" s="448"/>
    </row>
    <row r="458" spans="1:8" ht="29.25" hidden="1" customHeight="1" x14ac:dyDescent="0.25">
      <c r="A458" s="917"/>
      <c r="B458" s="455" t="s">
        <v>343</v>
      </c>
      <c r="C458" s="86"/>
      <c r="D458" s="86"/>
      <c r="E458" s="241" t="e">
        <f t="shared" si="107"/>
        <v>#DIV/0!</v>
      </c>
      <c r="F458" s="505">
        <f t="shared" si="108"/>
        <v>0</v>
      </c>
      <c r="G458" s="711" t="s">
        <v>940</v>
      </c>
      <c r="H458" s="448"/>
    </row>
    <row r="459" spans="1:8" ht="27" hidden="1" customHeight="1" x14ac:dyDescent="0.25">
      <c r="A459" s="917"/>
      <c r="B459" s="75" t="s">
        <v>344</v>
      </c>
      <c r="C459" s="86"/>
      <c r="D459" s="86"/>
      <c r="E459" s="241" t="e">
        <f t="shared" si="107"/>
        <v>#DIV/0!</v>
      </c>
      <c r="F459" s="505">
        <f t="shared" si="108"/>
        <v>0</v>
      </c>
      <c r="G459" s="711" t="s">
        <v>940</v>
      </c>
      <c r="H459" s="448"/>
    </row>
    <row r="460" spans="1:8" ht="29.25" customHeight="1" x14ac:dyDescent="0.25">
      <c r="A460" s="444"/>
      <c r="B460" s="458" t="s">
        <v>351</v>
      </c>
      <c r="C460" s="86">
        <f>C461</f>
        <v>728.37400000000002</v>
      </c>
      <c r="D460" s="86">
        <f>D461</f>
        <v>728.37400000000002</v>
      </c>
      <c r="E460" s="241">
        <f t="shared" si="107"/>
        <v>100</v>
      </c>
      <c r="F460" s="505">
        <f t="shared" si="108"/>
        <v>0</v>
      </c>
      <c r="G460" s="711" t="s">
        <v>940</v>
      </c>
      <c r="H460" s="448"/>
    </row>
    <row r="461" spans="1:8" ht="33" customHeight="1" x14ac:dyDescent="0.25">
      <c r="A461" s="444"/>
      <c r="B461" s="455" t="s">
        <v>352</v>
      </c>
      <c r="C461" s="86">
        <f>C462+C463</f>
        <v>728.37400000000002</v>
      </c>
      <c r="D461" s="86">
        <f>D462+D463</f>
        <v>728.37400000000002</v>
      </c>
      <c r="E461" s="241">
        <f t="shared" si="107"/>
        <v>100</v>
      </c>
      <c r="F461" s="505">
        <f t="shared" si="108"/>
        <v>0</v>
      </c>
      <c r="G461" s="711" t="s">
        <v>940</v>
      </c>
      <c r="H461" s="449"/>
    </row>
    <row r="462" spans="1:8" ht="18" customHeight="1" x14ac:dyDescent="0.25">
      <c r="A462" s="446"/>
      <c r="B462" s="75" t="s">
        <v>1094</v>
      </c>
      <c r="C462" s="86">
        <f>120+300.55+9.11984+49.88016</f>
        <v>479.55</v>
      </c>
      <c r="D462" s="86">
        <f>120+300.55+9.11984+49.88016</f>
        <v>479.55</v>
      </c>
      <c r="E462" s="240">
        <f t="shared" si="107"/>
        <v>100</v>
      </c>
      <c r="F462" s="226">
        <f t="shared" si="108"/>
        <v>0</v>
      </c>
      <c r="G462" s="711" t="s">
        <v>940</v>
      </c>
      <c r="H462" s="340"/>
    </row>
    <row r="463" spans="1:8" ht="33" customHeight="1" x14ac:dyDescent="0.25">
      <c r="A463" s="444"/>
      <c r="B463" s="75" t="s">
        <v>1095</v>
      </c>
      <c r="C463" s="86">
        <f>38.556+210.268</f>
        <v>248.82400000000001</v>
      </c>
      <c r="D463" s="86">
        <f>38.556+210.268</f>
        <v>248.82400000000001</v>
      </c>
      <c r="E463" s="241">
        <f t="shared" si="107"/>
        <v>100</v>
      </c>
      <c r="F463" s="505">
        <f t="shared" si="108"/>
        <v>0</v>
      </c>
      <c r="G463" s="711" t="s">
        <v>940</v>
      </c>
      <c r="H463" s="340"/>
    </row>
    <row r="464" spans="1:8" x14ac:dyDescent="0.25">
      <c r="A464" s="450"/>
      <c r="B464" s="75" t="s">
        <v>346</v>
      </c>
      <c r="C464" s="86">
        <f>C465</f>
        <v>250</v>
      </c>
      <c r="D464" s="86">
        <f>D465</f>
        <v>250</v>
      </c>
      <c r="E464" s="241">
        <f t="shared" si="107"/>
        <v>100</v>
      </c>
      <c r="F464" s="505">
        <f t="shared" si="108"/>
        <v>0</v>
      </c>
      <c r="G464" s="711" t="s">
        <v>940</v>
      </c>
      <c r="H464" s="328"/>
    </row>
    <row r="465" spans="1:8" ht="31.5" x14ac:dyDescent="0.25">
      <c r="A465" s="450"/>
      <c r="B465" s="455" t="s">
        <v>347</v>
      </c>
      <c r="C465" s="86">
        <f>90.9+100+0.3+20+38.8</f>
        <v>250</v>
      </c>
      <c r="D465" s="86">
        <f>90.9+100+0.3+20+38.8</f>
        <v>250</v>
      </c>
      <c r="E465" s="241">
        <f t="shared" si="107"/>
        <v>100</v>
      </c>
      <c r="F465" s="505">
        <f t="shared" si="108"/>
        <v>0</v>
      </c>
      <c r="G465" s="711" t="s">
        <v>940</v>
      </c>
      <c r="H465" s="328"/>
    </row>
    <row r="466" spans="1:8" x14ac:dyDescent="0.25">
      <c r="A466" s="450"/>
      <c r="B466" s="455" t="s">
        <v>1096</v>
      </c>
      <c r="C466" s="86">
        <v>100</v>
      </c>
      <c r="D466" s="86">
        <v>100</v>
      </c>
      <c r="E466" s="241">
        <f t="shared" si="107"/>
        <v>100</v>
      </c>
      <c r="F466" s="505">
        <f t="shared" si="108"/>
        <v>0</v>
      </c>
      <c r="G466" s="711" t="s">
        <v>940</v>
      </c>
      <c r="H466" s="328"/>
    </row>
    <row r="467" spans="1:8" x14ac:dyDescent="0.25">
      <c r="A467" s="450"/>
      <c r="B467" s="455" t="s">
        <v>1097</v>
      </c>
      <c r="C467" s="86">
        <v>20</v>
      </c>
      <c r="D467" s="86">
        <v>20</v>
      </c>
      <c r="E467" s="241">
        <f t="shared" si="107"/>
        <v>100</v>
      </c>
      <c r="F467" s="505">
        <f t="shared" si="108"/>
        <v>0</v>
      </c>
      <c r="G467" s="711" t="s">
        <v>940</v>
      </c>
      <c r="H467" s="328"/>
    </row>
    <row r="468" spans="1:8" x14ac:dyDescent="0.25">
      <c r="A468" s="450"/>
      <c r="B468" s="455" t="s">
        <v>1098</v>
      </c>
      <c r="C468" s="86">
        <v>50</v>
      </c>
      <c r="D468" s="86">
        <v>50</v>
      </c>
      <c r="E468" s="241">
        <f t="shared" si="107"/>
        <v>100</v>
      </c>
      <c r="F468" s="505">
        <f t="shared" si="108"/>
        <v>0</v>
      </c>
      <c r="G468" s="711" t="s">
        <v>940</v>
      </c>
      <c r="H468" s="328"/>
    </row>
    <row r="469" spans="1:8" ht="31.5" x14ac:dyDescent="0.25">
      <c r="A469" s="450"/>
      <c r="B469" s="455" t="s">
        <v>1099</v>
      </c>
      <c r="C469" s="86">
        <v>80</v>
      </c>
      <c r="D469" s="86">
        <v>80</v>
      </c>
      <c r="E469" s="241">
        <f t="shared" si="107"/>
        <v>100</v>
      </c>
      <c r="F469" s="505">
        <f t="shared" si="108"/>
        <v>0</v>
      </c>
      <c r="G469" s="711" t="s">
        <v>940</v>
      </c>
      <c r="H469" s="328"/>
    </row>
    <row r="470" spans="1:8" ht="31.5" hidden="1" x14ac:dyDescent="0.25">
      <c r="A470" s="450"/>
      <c r="B470" s="75" t="s">
        <v>355</v>
      </c>
      <c r="C470" s="86"/>
      <c r="D470" s="86"/>
      <c r="E470" s="241" t="e">
        <f t="shared" si="107"/>
        <v>#DIV/0!</v>
      </c>
      <c r="F470" s="505">
        <f t="shared" si="108"/>
        <v>0</v>
      </c>
      <c r="G470" s="711" t="s">
        <v>940</v>
      </c>
      <c r="H470" s="328"/>
    </row>
    <row r="471" spans="1:8" x14ac:dyDescent="0.25">
      <c r="A471" s="450"/>
      <c r="B471" s="457" t="s">
        <v>356</v>
      </c>
      <c r="C471" s="451">
        <f>C472+C473+C474+C477+C480+C483+C486+C488+C489+C505+C506</f>
        <v>46445.012870000006</v>
      </c>
      <c r="D471" s="451">
        <f>D472+D473+D474+D477+D480+D483+D486+D488+D489+D505+D506</f>
        <v>44581.694530000008</v>
      </c>
      <c r="E471" s="241">
        <f t="shared" si="107"/>
        <v>95.98811966052105</v>
      </c>
      <c r="F471" s="505">
        <f t="shared" si="108"/>
        <v>1863.318339999998</v>
      </c>
      <c r="G471" s="711"/>
      <c r="H471" s="328"/>
    </row>
    <row r="472" spans="1:8" ht="135" x14ac:dyDescent="0.25">
      <c r="A472" s="450"/>
      <c r="B472" s="75" t="s">
        <v>136</v>
      </c>
      <c r="C472" s="86">
        <f>33691.47768-129.754</f>
        <v>33561.723680000003</v>
      </c>
      <c r="D472" s="86">
        <f>33636.77296-129.754</f>
        <v>33507.018960000001</v>
      </c>
      <c r="E472" s="241">
        <f t="shared" si="107"/>
        <v>99.837002650633821</v>
      </c>
      <c r="F472" s="505">
        <f t="shared" si="108"/>
        <v>54.704720000001544</v>
      </c>
      <c r="G472" s="744" t="s">
        <v>1177</v>
      </c>
      <c r="H472" s="328"/>
    </row>
    <row r="473" spans="1:8" ht="31.5" x14ac:dyDescent="0.25">
      <c r="A473" s="450"/>
      <c r="B473" s="75" t="s">
        <v>335</v>
      </c>
      <c r="C473" s="86">
        <f>2.21+92.544+35</f>
        <v>129.75399999999999</v>
      </c>
      <c r="D473" s="86">
        <f>2.21+92.544+35</f>
        <v>129.75399999999999</v>
      </c>
      <c r="E473" s="241">
        <f t="shared" si="107"/>
        <v>100</v>
      </c>
      <c r="F473" s="505">
        <f t="shared" si="108"/>
        <v>0</v>
      </c>
      <c r="G473" s="711" t="s">
        <v>940</v>
      </c>
      <c r="H473" s="328"/>
    </row>
    <row r="474" spans="1:8" x14ac:dyDescent="0.25">
      <c r="A474" s="450"/>
      <c r="B474" s="75" t="s">
        <v>357</v>
      </c>
      <c r="C474" s="86">
        <f>SUM(C475:C476)</f>
        <v>0</v>
      </c>
      <c r="D474" s="86">
        <f>SUM(D475:D476)</f>
        <v>0</v>
      </c>
      <c r="E474" s="241">
        <v>0</v>
      </c>
      <c r="F474" s="505">
        <f t="shared" si="108"/>
        <v>0</v>
      </c>
      <c r="G474" s="711" t="s">
        <v>940</v>
      </c>
      <c r="H474" s="328"/>
    </row>
    <row r="475" spans="1:8" ht="31.5" hidden="1" x14ac:dyDescent="0.25">
      <c r="A475" s="450"/>
      <c r="B475" s="455" t="s">
        <v>358</v>
      </c>
      <c r="C475" s="86"/>
      <c r="D475" s="86"/>
      <c r="E475" s="241" t="e">
        <f t="shared" si="107"/>
        <v>#DIV/0!</v>
      </c>
      <c r="F475" s="505">
        <f t="shared" si="108"/>
        <v>0</v>
      </c>
      <c r="G475" s="711" t="s">
        <v>940</v>
      </c>
      <c r="H475" s="328"/>
    </row>
    <row r="476" spans="1:8" ht="31.5" hidden="1" x14ac:dyDescent="0.25">
      <c r="A476" s="450"/>
      <c r="B476" s="455" t="s">
        <v>359</v>
      </c>
      <c r="C476" s="86"/>
      <c r="D476" s="86"/>
      <c r="E476" s="241" t="e">
        <f t="shared" si="107"/>
        <v>#DIV/0!</v>
      </c>
      <c r="F476" s="505">
        <f t="shared" si="108"/>
        <v>0</v>
      </c>
      <c r="G476" s="711" t="s">
        <v>940</v>
      </c>
      <c r="H476" s="328"/>
    </row>
    <row r="477" spans="1:8" ht="31.5" x14ac:dyDescent="0.25">
      <c r="A477" s="450"/>
      <c r="B477" s="75" t="s">
        <v>360</v>
      </c>
      <c r="C477" s="86">
        <f>C478+C479</f>
        <v>450</v>
      </c>
      <c r="D477" s="86">
        <f>D478+D479</f>
        <v>450</v>
      </c>
      <c r="E477" s="241">
        <f t="shared" si="107"/>
        <v>100</v>
      </c>
      <c r="F477" s="505">
        <f t="shared" si="108"/>
        <v>0</v>
      </c>
      <c r="G477" s="711" t="s">
        <v>940</v>
      </c>
      <c r="H477" s="328"/>
    </row>
    <row r="478" spans="1:8" ht="31.5" x14ac:dyDescent="0.25">
      <c r="A478" s="450"/>
      <c r="B478" s="455" t="s">
        <v>361</v>
      </c>
      <c r="C478" s="86">
        <v>300</v>
      </c>
      <c r="D478" s="86">
        <v>300</v>
      </c>
      <c r="E478" s="241">
        <f t="shared" si="107"/>
        <v>100</v>
      </c>
      <c r="F478" s="505">
        <f t="shared" si="108"/>
        <v>0</v>
      </c>
      <c r="G478" s="711" t="s">
        <v>940</v>
      </c>
      <c r="H478" s="328"/>
    </row>
    <row r="479" spans="1:8" ht="31.5" x14ac:dyDescent="0.25">
      <c r="A479" s="450"/>
      <c r="B479" s="455" t="s">
        <v>362</v>
      </c>
      <c r="C479" s="86">
        <v>150</v>
      </c>
      <c r="D479" s="86">
        <v>150</v>
      </c>
      <c r="E479" s="241">
        <f t="shared" si="107"/>
        <v>100</v>
      </c>
      <c r="F479" s="505">
        <f t="shared" si="108"/>
        <v>0</v>
      </c>
      <c r="G479" s="711" t="s">
        <v>940</v>
      </c>
      <c r="H479" s="328"/>
    </row>
    <row r="480" spans="1:8" ht="31.5" x14ac:dyDescent="0.25">
      <c r="A480" s="450"/>
      <c r="B480" s="75" t="s">
        <v>363</v>
      </c>
      <c r="C480" s="86">
        <f>C481+C482</f>
        <v>440.392</v>
      </c>
      <c r="D480" s="86">
        <f>D481+D482</f>
        <v>440.392</v>
      </c>
      <c r="E480" s="241">
        <f t="shared" si="107"/>
        <v>100</v>
      </c>
      <c r="F480" s="505">
        <f t="shared" si="108"/>
        <v>0</v>
      </c>
      <c r="G480" s="711" t="s">
        <v>940</v>
      </c>
      <c r="H480" s="328"/>
    </row>
    <row r="481" spans="1:8" ht="31.5" x14ac:dyDescent="0.25">
      <c r="A481" s="450"/>
      <c r="B481" s="455" t="s">
        <v>364</v>
      </c>
      <c r="C481" s="86">
        <v>83.356800000000007</v>
      </c>
      <c r="D481" s="86">
        <v>83.356800000000007</v>
      </c>
      <c r="E481" s="241">
        <f t="shared" si="107"/>
        <v>100</v>
      </c>
      <c r="F481" s="505">
        <f t="shared" si="108"/>
        <v>0</v>
      </c>
      <c r="G481" s="711" t="s">
        <v>940</v>
      </c>
      <c r="H481" s="328"/>
    </row>
    <row r="482" spans="1:8" ht="31.5" x14ac:dyDescent="0.25">
      <c r="A482" s="450"/>
      <c r="B482" s="455" t="s">
        <v>365</v>
      </c>
      <c r="C482" s="86">
        <v>357.03519999999997</v>
      </c>
      <c r="D482" s="86">
        <v>357.03519999999997</v>
      </c>
      <c r="E482" s="241">
        <f t="shared" si="107"/>
        <v>100</v>
      </c>
      <c r="F482" s="505">
        <f t="shared" si="108"/>
        <v>0</v>
      </c>
      <c r="G482" s="711" t="s">
        <v>940</v>
      </c>
      <c r="H482" s="328"/>
    </row>
    <row r="483" spans="1:8" ht="31.5" x14ac:dyDescent="0.25">
      <c r="A483" s="450"/>
      <c r="B483" s="75" t="s">
        <v>366</v>
      </c>
      <c r="C483" s="86">
        <f>C484+C485</f>
        <v>0</v>
      </c>
      <c r="D483" s="86">
        <f>D484+D485</f>
        <v>0</v>
      </c>
      <c r="E483" s="241">
        <v>0</v>
      </c>
      <c r="F483" s="505">
        <f t="shared" si="108"/>
        <v>0</v>
      </c>
      <c r="G483" s="711" t="s">
        <v>940</v>
      </c>
      <c r="H483" s="328"/>
    </row>
    <row r="484" spans="1:8" ht="45.75" hidden="1" customHeight="1" x14ac:dyDescent="0.25">
      <c r="A484" s="450"/>
      <c r="B484" s="455" t="s">
        <v>367</v>
      </c>
      <c r="C484" s="86"/>
      <c r="D484" s="86"/>
      <c r="E484" s="241" t="e">
        <f t="shared" si="107"/>
        <v>#DIV/0!</v>
      </c>
      <c r="F484" s="505">
        <f t="shared" si="108"/>
        <v>0</v>
      </c>
      <c r="G484" s="711" t="s">
        <v>940</v>
      </c>
      <c r="H484" s="328"/>
    </row>
    <row r="485" spans="1:8" ht="31.5" hidden="1" x14ac:dyDescent="0.25">
      <c r="A485" s="450"/>
      <c r="B485" s="455" t="s">
        <v>368</v>
      </c>
      <c r="C485" s="86"/>
      <c r="D485" s="86"/>
      <c r="E485" s="241" t="e">
        <f t="shared" si="107"/>
        <v>#DIV/0!</v>
      </c>
      <c r="F485" s="505">
        <f t="shared" si="108"/>
        <v>0</v>
      </c>
      <c r="G485" s="711" t="s">
        <v>940</v>
      </c>
      <c r="H485" s="328"/>
    </row>
    <row r="486" spans="1:8" ht="31.5" x14ac:dyDescent="0.25">
      <c r="A486" s="450"/>
      <c r="B486" s="75" t="s">
        <v>369</v>
      </c>
      <c r="C486" s="86">
        <f>C487</f>
        <v>247.3</v>
      </c>
      <c r="D486" s="86">
        <f>D487</f>
        <v>247.3</v>
      </c>
      <c r="E486" s="241">
        <f t="shared" si="107"/>
        <v>100</v>
      </c>
      <c r="F486" s="505">
        <f t="shared" si="108"/>
        <v>0</v>
      </c>
      <c r="G486" s="711" t="s">
        <v>940</v>
      </c>
      <c r="H486" s="328"/>
    </row>
    <row r="487" spans="1:8" ht="31.5" x14ac:dyDescent="0.25">
      <c r="A487" s="450"/>
      <c r="B487" s="455" t="s">
        <v>369</v>
      </c>
      <c r="C487" s="86">
        <v>247.3</v>
      </c>
      <c r="D487" s="86">
        <v>247.3</v>
      </c>
      <c r="E487" s="241">
        <f t="shared" si="107"/>
        <v>100</v>
      </c>
      <c r="F487" s="505">
        <f t="shared" si="108"/>
        <v>0</v>
      </c>
      <c r="G487" s="711" t="s">
        <v>940</v>
      </c>
      <c r="H487" s="328"/>
    </row>
    <row r="488" spans="1:8" ht="31.5" hidden="1" x14ac:dyDescent="0.25">
      <c r="A488" s="450"/>
      <c r="B488" s="75" t="s">
        <v>370</v>
      </c>
      <c r="C488" s="86"/>
      <c r="D488" s="86"/>
      <c r="E488" s="241" t="e">
        <f t="shared" si="107"/>
        <v>#DIV/0!</v>
      </c>
      <c r="F488" s="505">
        <f t="shared" si="108"/>
        <v>0</v>
      </c>
      <c r="G488" s="282"/>
      <c r="H488" s="328"/>
    </row>
    <row r="489" spans="1:8" x14ac:dyDescent="0.25">
      <c r="A489" s="450"/>
      <c r="B489" s="75" t="s">
        <v>371</v>
      </c>
      <c r="C489" s="86">
        <f>C490+C492+C500</f>
        <v>11615.84319</v>
      </c>
      <c r="D489" s="86">
        <f>D490+D492+D500</f>
        <v>9807.2295699999995</v>
      </c>
      <c r="E489" s="241">
        <f t="shared" si="107"/>
        <v>84.429768976590324</v>
      </c>
      <c r="F489" s="505">
        <f>C489-D489</f>
        <v>1808.6136200000001</v>
      </c>
      <c r="G489" s="282"/>
      <c r="H489" s="328"/>
    </row>
    <row r="490" spans="1:8" ht="18.75" customHeight="1" x14ac:dyDescent="0.25">
      <c r="A490" s="450"/>
      <c r="B490" s="455" t="s">
        <v>372</v>
      </c>
      <c r="C490" s="86">
        <f>1039.8809+2831.64964</f>
        <v>3871.5305400000002</v>
      </c>
      <c r="D490" s="86">
        <f>647.91373+2590.00279</f>
        <v>3237.9165199999998</v>
      </c>
      <c r="E490" s="241">
        <f t="shared" si="107"/>
        <v>83.634017258714422</v>
      </c>
      <c r="F490" s="505">
        <f t="shared" si="108"/>
        <v>633.61402000000044</v>
      </c>
      <c r="G490" s="282"/>
      <c r="H490" s="328"/>
    </row>
    <row r="491" spans="1:8" ht="94.5" x14ac:dyDescent="0.25">
      <c r="A491" s="450"/>
      <c r="B491" s="75" t="s">
        <v>1100</v>
      </c>
      <c r="C491" s="86">
        <f>1039.8809+2831.64964</f>
        <v>3871.5305400000002</v>
      </c>
      <c r="D491" s="86">
        <f>647.91373+2590.00279</f>
        <v>3237.9165199999998</v>
      </c>
      <c r="E491" s="241">
        <f t="shared" si="107"/>
        <v>83.634017258714422</v>
      </c>
      <c r="F491" s="505">
        <f t="shared" si="108"/>
        <v>633.61402000000044</v>
      </c>
      <c r="G491" s="449" t="s">
        <v>1069</v>
      </c>
      <c r="H491" s="449"/>
    </row>
    <row r="492" spans="1:8" x14ac:dyDescent="0.25">
      <c r="A492" s="450"/>
      <c r="B492" s="455" t="s">
        <v>373</v>
      </c>
      <c r="C492" s="86">
        <f>3012.487+408.014+1200+135+100+320+107.225</f>
        <v>5282.7260000000006</v>
      </c>
      <c r="D492" s="86">
        <f>3012.4874+408.014+1200+135+100+320+107.225</f>
        <v>5282.7264000000005</v>
      </c>
      <c r="E492" s="241">
        <f t="shared" si="107"/>
        <v>100.00000757184833</v>
      </c>
      <c r="F492" s="505">
        <f t="shared" si="108"/>
        <v>-3.9999999989959178E-4</v>
      </c>
      <c r="G492" s="711" t="s">
        <v>940</v>
      </c>
      <c r="H492" s="328"/>
    </row>
    <row r="493" spans="1:8" ht="31.5" x14ac:dyDescent="0.25">
      <c r="A493" s="450"/>
      <c r="B493" s="75" t="s">
        <v>1101</v>
      </c>
      <c r="C493" s="445">
        <v>238.00399999999999</v>
      </c>
      <c r="D493" s="445">
        <v>238.00399999999999</v>
      </c>
      <c r="E493" s="241">
        <f t="shared" si="107"/>
        <v>100</v>
      </c>
      <c r="F493" s="505">
        <f t="shared" si="108"/>
        <v>0</v>
      </c>
      <c r="G493" s="711" t="s">
        <v>940</v>
      </c>
      <c r="H493" s="328"/>
    </row>
    <row r="494" spans="1:8" x14ac:dyDescent="0.25">
      <c r="A494" s="450"/>
      <c r="B494" s="75" t="s">
        <v>1102</v>
      </c>
      <c r="C494" s="445">
        <f>3012.487-238.004+135</f>
        <v>2909.4830000000002</v>
      </c>
      <c r="D494" s="445">
        <f>3012.487-238.004+135</f>
        <v>2909.4830000000002</v>
      </c>
      <c r="E494" s="241">
        <f t="shared" si="107"/>
        <v>100</v>
      </c>
      <c r="F494" s="505">
        <f t="shared" si="108"/>
        <v>0</v>
      </c>
      <c r="G494" s="711" t="s">
        <v>940</v>
      </c>
      <c r="H494" s="328"/>
    </row>
    <row r="495" spans="1:8" ht="47.25" x14ac:dyDescent="0.25">
      <c r="A495" s="450"/>
      <c r="B495" s="75" t="s">
        <v>1103</v>
      </c>
      <c r="C495" s="445">
        <v>1200</v>
      </c>
      <c r="D495" s="445">
        <v>1200</v>
      </c>
      <c r="E495" s="241">
        <f t="shared" si="107"/>
        <v>100</v>
      </c>
      <c r="F495" s="505">
        <f t="shared" si="108"/>
        <v>0</v>
      </c>
      <c r="G495" s="711" t="s">
        <v>940</v>
      </c>
      <c r="H495" s="328"/>
    </row>
    <row r="496" spans="1:8" x14ac:dyDescent="0.25">
      <c r="A496" s="450"/>
      <c r="B496" s="75" t="s">
        <v>1104</v>
      </c>
      <c r="C496" s="445">
        <v>408.01400000000001</v>
      </c>
      <c r="D496" s="445">
        <v>408.01400000000001</v>
      </c>
      <c r="E496" s="241">
        <f t="shared" si="107"/>
        <v>100</v>
      </c>
      <c r="F496" s="505">
        <f t="shared" si="108"/>
        <v>0</v>
      </c>
      <c r="G496" s="711" t="s">
        <v>940</v>
      </c>
      <c r="H496" s="328"/>
    </row>
    <row r="497" spans="1:8" x14ac:dyDescent="0.25">
      <c r="A497" s="450"/>
      <c r="B497" s="75" t="s">
        <v>1105</v>
      </c>
      <c r="C497" s="445">
        <v>100</v>
      </c>
      <c r="D497" s="445">
        <v>100</v>
      </c>
      <c r="E497" s="241">
        <f t="shared" si="107"/>
        <v>100</v>
      </c>
      <c r="F497" s="505">
        <f t="shared" si="108"/>
        <v>0</v>
      </c>
      <c r="G497" s="711" t="s">
        <v>940</v>
      </c>
      <c r="H497" s="328"/>
    </row>
    <row r="498" spans="1:8" ht="31.5" x14ac:dyDescent="0.25">
      <c r="A498" s="450"/>
      <c r="B498" s="75" t="s">
        <v>1106</v>
      </c>
      <c r="C498" s="445">
        <v>320</v>
      </c>
      <c r="D498" s="445">
        <v>320</v>
      </c>
      <c r="E498" s="241">
        <f t="shared" si="107"/>
        <v>100</v>
      </c>
      <c r="F498" s="505">
        <f t="shared" si="108"/>
        <v>0</v>
      </c>
      <c r="G498" s="711" t="s">
        <v>940</v>
      </c>
      <c r="H498" s="328"/>
    </row>
    <row r="499" spans="1:8" x14ac:dyDescent="0.25">
      <c r="A499" s="450"/>
      <c r="B499" s="75" t="s">
        <v>1107</v>
      </c>
      <c r="C499" s="86">
        <v>107.22499999999999</v>
      </c>
      <c r="D499" s="86">
        <v>107.22499999999999</v>
      </c>
      <c r="E499" s="241">
        <f t="shared" si="107"/>
        <v>100</v>
      </c>
      <c r="F499" s="505">
        <f t="shared" si="108"/>
        <v>0</v>
      </c>
      <c r="G499" s="711" t="s">
        <v>940</v>
      </c>
      <c r="H499" s="328"/>
    </row>
    <row r="500" spans="1:8" ht="37.5" customHeight="1" x14ac:dyDescent="0.25">
      <c r="A500" s="450"/>
      <c r="B500" s="455" t="s">
        <v>374</v>
      </c>
      <c r="C500" s="86">
        <f>1450+845+126.58665+40</f>
        <v>2461.5866500000002</v>
      </c>
      <c r="D500" s="86">
        <f>1160+126.58665</f>
        <v>1286.58665</v>
      </c>
      <c r="E500" s="241">
        <f t="shared" si="107"/>
        <v>52.266559456682124</v>
      </c>
      <c r="F500" s="505">
        <f t="shared" si="108"/>
        <v>1175.0000000000002</v>
      </c>
      <c r="G500" s="282"/>
      <c r="H500" s="328"/>
    </row>
    <row r="501" spans="1:8" ht="31.5" x14ac:dyDescent="0.25">
      <c r="A501" s="450"/>
      <c r="B501" s="454" t="s">
        <v>1108</v>
      </c>
      <c r="C501" s="445">
        <v>1450</v>
      </c>
      <c r="D501" s="445">
        <v>1160</v>
      </c>
      <c r="E501" s="241">
        <f t="shared" si="107"/>
        <v>80</v>
      </c>
      <c r="F501" s="505">
        <f t="shared" si="108"/>
        <v>290</v>
      </c>
      <c r="G501" s="449" t="s">
        <v>1068</v>
      </c>
      <c r="H501" s="449"/>
    </row>
    <row r="502" spans="1:8" ht="31.5" x14ac:dyDescent="0.25">
      <c r="A502" s="450"/>
      <c r="B502" s="454" t="s">
        <v>1109</v>
      </c>
      <c r="C502" s="445">
        <v>845</v>
      </c>
      <c r="D502" s="445"/>
      <c r="E502" s="241">
        <f t="shared" si="107"/>
        <v>0</v>
      </c>
      <c r="F502" s="505">
        <f t="shared" si="108"/>
        <v>845</v>
      </c>
      <c r="G502" s="449" t="s">
        <v>1068</v>
      </c>
      <c r="H502" s="449"/>
    </row>
    <row r="503" spans="1:8" ht="31.5" x14ac:dyDescent="0.25">
      <c r="A503" s="450"/>
      <c r="B503" s="454" t="s">
        <v>1110</v>
      </c>
      <c r="C503" s="445">
        <v>40</v>
      </c>
      <c r="D503" s="445"/>
      <c r="E503" s="241">
        <f t="shared" si="107"/>
        <v>0</v>
      </c>
      <c r="F503" s="505">
        <f t="shared" si="108"/>
        <v>40</v>
      </c>
      <c r="G503" s="449" t="s">
        <v>1068</v>
      </c>
      <c r="H503" s="449"/>
    </row>
    <row r="504" spans="1:8" x14ac:dyDescent="0.25">
      <c r="A504" s="450"/>
      <c r="B504" s="454" t="s">
        <v>1111</v>
      </c>
      <c r="C504" s="445">
        <f>77+49.58665</f>
        <v>126.58664999999999</v>
      </c>
      <c r="D504" s="445">
        <f>77+49.58665</f>
        <v>126.58664999999999</v>
      </c>
      <c r="E504" s="241">
        <f t="shared" si="107"/>
        <v>100</v>
      </c>
      <c r="F504" s="505">
        <f t="shared" si="108"/>
        <v>0</v>
      </c>
      <c r="G504" s="711" t="s">
        <v>940</v>
      </c>
      <c r="H504" s="328"/>
    </row>
    <row r="505" spans="1:8" ht="31.5" hidden="1" x14ac:dyDescent="0.25">
      <c r="A505" s="450"/>
      <c r="B505" s="75" t="s">
        <v>375</v>
      </c>
      <c r="C505" s="86"/>
      <c r="D505" s="86"/>
      <c r="E505" s="241" t="e">
        <f t="shared" si="107"/>
        <v>#DIV/0!</v>
      </c>
      <c r="F505" s="505">
        <f t="shared" si="108"/>
        <v>0</v>
      </c>
      <c r="G505" s="711" t="s">
        <v>940</v>
      </c>
      <c r="H505" s="328"/>
    </row>
    <row r="506" spans="1:8" ht="31.5" hidden="1" x14ac:dyDescent="0.25">
      <c r="A506" s="450"/>
      <c r="B506" s="75" t="s">
        <v>376</v>
      </c>
      <c r="C506" s="86"/>
      <c r="D506" s="86"/>
      <c r="E506" s="241" t="e">
        <f t="shared" si="107"/>
        <v>#DIV/0!</v>
      </c>
      <c r="F506" s="505">
        <f t="shared" si="108"/>
        <v>0</v>
      </c>
      <c r="G506" s="711" t="s">
        <v>940</v>
      </c>
      <c r="H506" s="328"/>
    </row>
    <row r="507" spans="1:8" ht="31.5" x14ac:dyDescent="0.25">
      <c r="A507" s="450"/>
      <c r="B507" s="457" t="s">
        <v>377</v>
      </c>
      <c r="C507" s="451">
        <f>C508+C509</f>
        <v>3271</v>
      </c>
      <c r="D507" s="451">
        <f>D508+D509</f>
        <v>3271</v>
      </c>
      <c r="E507" s="241">
        <f t="shared" si="107"/>
        <v>100</v>
      </c>
      <c r="F507" s="505">
        <f t="shared" si="108"/>
        <v>0</v>
      </c>
      <c r="G507" s="711" t="s">
        <v>940</v>
      </c>
      <c r="H507" s="328"/>
    </row>
    <row r="508" spans="1:8" ht="31.5" x14ac:dyDescent="0.25">
      <c r="A508" s="450"/>
      <c r="B508" s="75" t="s">
        <v>378</v>
      </c>
      <c r="C508" s="86">
        <f>3179.87465-200+14.62535+40+10+26.5</f>
        <v>3071</v>
      </c>
      <c r="D508" s="86">
        <f>3179.87465-200+14.62535+40+10+26.5</f>
        <v>3071</v>
      </c>
      <c r="E508" s="241">
        <f t="shared" si="107"/>
        <v>100</v>
      </c>
      <c r="F508" s="505">
        <f t="shared" si="108"/>
        <v>0</v>
      </c>
      <c r="G508" s="711" t="s">
        <v>940</v>
      </c>
      <c r="H508" s="328"/>
    </row>
    <row r="509" spans="1:8" ht="31.5" x14ac:dyDescent="0.25">
      <c r="A509" s="450"/>
      <c r="B509" s="75" t="s">
        <v>379</v>
      </c>
      <c r="C509" s="86">
        <v>200</v>
      </c>
      <c r="D509" s="86">
        <v>200</v>
      </c>
      <c r="E509" s="241">
        <f t="shared" si="107"/>
        <v>100</v>
      </c>
      <c r="F509" s="505">
        <f t="shared" si="108"/>
        <v>0</v>
      </c>
      <c r="G509" s="711" t="s">
        <v>940</v>
      </c>
      <c r="H509" s="328"/>
    </row>
    <row r="510" spans="1:8" ht="47.25" x14ac:dyDescent="0.25">
      <c r="A510" s="326">
        <v>22</v>
      </c>
      <c r="B510" s="167" t="s">
        <v>745</v>
      </c>
      <c r="C510" s="172">
        <f>SUM(C511:C514)</f>
        <v>3050</v>
      </c>
      <c r="D510" s="173">
        <f>SUM(D511:D513)</f>
        <v>319.62099999999998</v>
      </c>
      <c r="E510" s="222">
        <f>SUM(D510/C510*100)</f>
        <v>10.479377049180327</v>
      </c>
      <c r="F510" s="223">
        <f>C510-D510</f>
        <v>2730.3789999999999</v>
      </c>
      <c r="G510" s="288"/>
      <c r="H510" s="338" t="s">
        <v>1176</v>
      </c>
    </row>
    <row r="511" spans="1:8" x14ac:dyDescent="0.25">
      <c r="A511" s="326"/>
      <c r="B511" s="18" t="s">
        <v>1034</v>
      </c>
      <c r="C511" s="489">
        <v>250</v>
      </c>
      <c r="D511" s="116">
        <v>244.5</v>
      </c>
      <c r="E511" s="241">
        <f t="shared" si="107"/>
        <v>97.8</v>
      </c>
      <c r="F511" s="505">
        <f t="shared" si="108"/>
        <v>5.5</v>
      </c>
      <c r="G511" s="217"/>
      <c r="H511" s="326"/>
    </row>
    <row r="512" spans="1:8" x14ac:dyDescent="0.25">
      <c r="A512" s="326"/>
      <c r="B512" s="4" t="s">
        <v>1035</v>
      </c>
      <c r="C512" s="489">
        <v>150</v>
      </c>
      <c r="D512" s="116">
        <v>75.120999999999995</v>
      </c>
      <c r="E512" s="241">
        <f t="shared" si="107"/>
        <v>50.080666666666659</v>
      </c>
      <c r="F512" s="505">
        <f t="shared" si="108"/>
        <v>74.879000000000005</v>
      </c>
      <c r="G512" s="217" t="s">
        <v>1168</v>
      </c>
      <c r="H512" s="326"/>
    </row>
    <row r="513" spans="1:8" x14ac:dyDescent="0.25">
      <c r="A513" s="326"/>
      <c r="B513" s="18" t="s">
        <v>1036</v>
      </c>
      <c r="C513" s="489">
        <v>150</v>
      </c>
      <c r="D513" s="217">
        <v>0</v>
      </c>
      <c r="E513" s="241">
        <f t="shared" si="107"/>
        <v>0</v>
      </c>
      <c r="F513" s="505">
        <f t="shared" si="108"/>
        <v>150</v>
      </c>
      <c r="G513" s="217" t="s">
        <v>1168</v>
      </c>
      <c r="H513" s="326"/>
    </row>
    <row r="514" spans="1:8" x14ac:dyDescent="0.25">
      <c r="A514" s="326"/>
      <c r="B514" s="18" t="s">
        <v>1120</v>
      </c>
      <c r="C514" s="489">
        <v>2500</v>
      </c>
      <c r="D514" s="217"/>
      <c r="E514" s="241"/>
      <c r="F514" s="505">
        <f t="shared" si="108"/>
        <v>2500</v>
      </c>
      <c r="G514" s="217"/>
      <c r="H514" s="326"/>
    </row>
    <row r="515" spans="1:8" ht="31.5" x14ac:dyDescent="0.25">
      <c r="A515" s="326">
        <v>23</v>
      </c>
      <c r="B515" s="89" t="s">
        <v>811</v>
      </c>
      <c r="C515" s="308">
        <v>0</v>
      </c>
      <c r="D515" s="308">
        <v>0</v>
      </c>
      <c r="E515" s="308">
        <v>0</v>
      </c>
      <c r="F515" s="308">
        <v>0</v>
      </c>
      <c r="G515" s="288"/>
      <c r="H515" s="338" t="s">
        <v>1033</v>
      </c>
    </row>
    <row r="516" spans="1:8" x14ac:dyDescent="0.25">
      <c r="A516" s="18"/>
      <c r="B516" s="310" t="s">
        <v>1007</v>
      </c>
      <c r="C516" s="311">
        <f>SUM(C6+C21+C76+C94+C105+C108+C156+C173+C189+C214+C230+C234+C272+C383+C398+C402+C412+C420+C424+C427+C510+C515)+C429</f>
        <v>596686.98999999987</v>
      </c>
      <c r="D516" s="312">
        <f>SUM(D6+D21+D76+D94+D105+D108+D156+D173+D189+D214+D230+D234+D272+D383+D398+D402+D412+D420+D424+D427+D510+D515)+D429</f>
        <v>590382.31932999985</v>
      </c>
      <c r="E516" s="313">
        <f t="shared" si="107"/>
        <v>98.943387274121733</v>
      </c>
      <c r="F516" s="312">
        <f>SUM(F6+F21+F76+F94+F105+F108+F156+F173+F189+F214+F230+F234+F272+F383+F398+F402+F412+F420+F424+F427+F429+F510+F515)</f>
        <v>6304.6706700000004</v>
      </c>
      <c r="G516" s="18"/>
      <c r="H516" s="18"/>
    </row>
  </sheetData>
  <mergeCells count="10">
    <mergeCell ref="A457:A459"/>
    <mergeCell ref="H274:H275"/>
    <mergeCell ref="H312:H313"/>
    <mergeCell ref="H316:H317"/>
    <mergeCell ref="A1:G1"/>
    <mergeCell ref="A2:G2"/>
    <mergeCell ref="A3:G3"/>
    <mergeCell ref="A448:A452"/>
    <mergeCell ref="A455:A456"/>
    <mergeCell ref="G430:G432"/>
  </mergeCells>
  <conditionalFormatting sqref="B273:B361">
    <cfRule type="cellIs" dxfId="1" priority="1" stopIfTrue="1" operator="equal">
      <formula>0</formula>
    </cfRule>
  </conditionalFormatting>
  <conditionalFormatting sqref="B273:B382">
    <cfRule type="cellIs" dxfId="0" priority="2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"/>
  <sheetViews>
    <sheetView workbookViewId="0">
      <selection activeCell="A5" sqref="A5"/>
    </sheetView>
  </sheetViews>
  <sheetFormatPr defaultColWidth="12.296875" defaultRowHeight="15.75" x14ac:dyDescent="0.25"/>
  <cols>
    <col min="1" max="1" width="15.19921875" style="459" customWidth="1"/>
    <col min="2" max="6" width="12.296875" style="459"/>
    <col min="7" max="7" width="15.69921875" style="459" customWidth="1"/>
    <col min="8" max="8" width="13.296875" style="459" customWidth="1"/>
    <col min="9" max="15" width="12.296875" style="459"/>
    <col min="16" max="16" width="12.8984375" style="459" customWidth="1"/>
    <col min="17" max="16384" width="12.296875" style="459"/>
  </cols>
  <sheetData>
    <row r="1" spans="1:24" x14ac:dyDescent="0.25">
      <c r="A1" s="925" t="s">
        <v>1112</v>
      </c>
      <c r="B1" s="925"/>
      <c r="C1" s="925"/>
      <c r="D1" s="925"/>
      <c r="E1" s="925"/>
      <c r="F1" s="925"/>
      <c r="G1" s="925"/>
      <c r="H1" s="925"/>
      <c r="I1" s="925"/>
      <c r="J1" s="925"/>
      <c r="K1" s="925"/>
      <c r="L1" s="925"/>
      <c r="M1" s="925"/>
      <c r="N1" s="925"/>
      <c r="O1" s="925"/>
      <c r="P1" s="925"/>
      <c r="Q1" s="925"/>
      <c r="R1" s="925"/>
      <c r="S1" s="925"/>
      <c r="T1" s="925"/>
      <c r="U1" s="925"/>
    </row>
    <row r="3" spans="1:24" x14ac:dyDescent="0.25">
      <c r="V3" s="460"/>
      <c r="X3" s="460" t="s">
        <v>1113</v>
      </c>
    </row>
    <row r="4" spans="1:24" s="464" customFormat="1" ht="141.75" x14ac:dyDescent="0.3">
      <c r="A4" s="461"/>
      <c r="B4" s="200" t="s">
        <v>10</v>
      </c>
      <c r="C4" s="462" t="s">
        <v>35</v>
      </c>
      <c r="D4" s="200" t="s">
        <v>744</v>
      </c>
      <c r="E4" s="463" t="s">
        <v>1114</v>
      </c>
      <c r="F4" s="259" t="s">
        <v>1115</v>
      </c>
      <c r="G4" s="462" t="s">
        <v>137</v>
      </c>
      <c r="H4" s="200" t="s">
        <v>132</v>
      </c>
      <c r="I4" s="38" t="s">
        <v>381</v>
      </c>
      <c r="J4" s="259" t="s">
        <v>1009</v>
      </c>
      <c r="K4" s="259" t="s">
        <v>39</v>
      </c>
      <c r="L4" s="259" t="s">
        <v>83</v>
      </c>
      <c r="M4" s="259" t="s">
        <v>98</v>
      </c>
      <c r="N4" s="259" t="s">
        <v>117</v>
      </c>
      <c r="O4" s="259" t="s">
        <v>62</v>
      </c>
      <c r="P4" s="259" t="s">
        <v>123</v>
      </c>
      <c r="Q4" s="259" t="s">
        <v>162</v>
      </c>
      <c r="R4" s="259" t="s">
        <v>166</v>
      </c>
      <c r="S4" s="259" t="s">
        <v>146</v>
      </c>
      <c r="T4" s="259" t="s">
        <v>55</v>
      </c>
      <c r="U4" s="200" t="s">
        <v>781</v>
      </c>
      <c r="V4" s="462" t="s">
        <v>199</v>
      </c>
      <c r="W4" s="200" t="s">
        <v>811</v>
      </c>
      <c r="X4" s="200" t="s">
        <v>745</v>
      </c>
    </row>
    <row r="5" spans="1:24" ht="50.25" x14ac:dyDescent="0.25">
      <c r="A5" s="465" t="s">
        <v>1116</v>
      </c>
      <c r="B5" s="466"/>
      <c r="C5" s="466"/>
      <c r="D5" s="466"/>
      <c r="E5" s="466"/>
      <c r="F5" s="466">
        <v>87.5</v>
      </c>
      <c r="G5" s="466"/>
      <c r="H5" s="466">
        <v>80</v>
      </c>
      <c r="I5" s="466"/>
      <c r="J5" s="466"/>
      <c r="K5" s="466">
        <v>84</v>
      </c>
      <c r="L5" s="466">
        <v>80</v>
      </c>
      <c r="M5" s="466">
        <v>92.5</v>
      </c>
      <c r="N5" s="466">
        <v>80</v>
      </c>
      <c r="O5" s="466"/>
      <c r="P5" s="466">
        <v>83</v>
      </c>
      <c r="Q5" s="466">
        <v>83</v>
      </c>
      <c r="R5" s="466"/>
      <c r="S5" s="466"/>
      <c r="T5" s="466">
        <v>83</v>
      </c>
      <c r="U5" s="466">
        <v>95</v>
      </c>
      <c r="V5" s="467"/>
      <c r="W5" s="467"/>
      <c r="X5" s="468"/>
    </row>
    <row r="6" spans="1:24" ht="50.25" x14ac:dyDescent="0.35">
      <c r="A6" s="465" t="s">
        <v>1117</v>
      </c>
      <c r="B6" s="466"/>
      <c r="C6" s="466">
        <v>72.5</v>
      </c>
      <c r="D6" s="466">
        <v>60.8</v>
      </c>
      <c r="E6" s="466">
        <v>68</v>
      </c>
      <c r="F6" s="466"/>
      <c r="G6" s="466">
        <v>62.5</v>
      </c>
      <c r="H6" s="466"/>
      <c r="I6" s="466">
        <v>69</v>
      </c>
      <c r="J6" s="466">
        <v>64</v>
      </c>
      <c r="K6" s="466"/>
      <c r="L6" s="466"/>
      <c r="M6" s="466"/>
      <c r="N6" s="466"/>
      <c r="O6" s="466">
        <v>70</v>
      </c>
      <c r="P6" s="466"/>
      <c r="Q6" s="466"/>
      <c r="R6" s="466">
        <v>69.8</v>
      </c>
      <c r="S6" s="466">
        <v>72.8</v>
      </c>
      <c r="T6" s="466"/>
      <c r="U6" s="466"/>
      <c r="V6" s="467"/>
      <c r="W6" s="467"/>
      <c r="X6" s="468"/>
    </row>
    <row r="7" spans="1:24" ht="55.5" customHeight="1" x14ac:dyDescent="0.35">
      <c r="A7" s="465" t="s">
        <v>1118</v>
      </c>
      <c r="B7" s="466">
        <v>53</v>
      </c>
      <c r="C7" s="466"/>
      <c r="D7" s="466"/>
      <c r="E7" s="466"/>
      <c r="F7" s="466"/>
      <c r="G7" s="466"/>
      <c r="H7" s="466"/>
      <c r="I7" s="466"/>
      <c r="J7" s="466"/>
      <c r="K7" s="466"/>
      <c r="L7" s="466"/>
      <c r="M7" s="466"/>
      <c r="N7" s="466"/>
      <c r="O7" s="466"/>
      <c r="P7" s="466"/>
      <c r="Q7" s="466"/>
      <c r="R7" s="466"/>
      <c r="S7" s="466"/>
      <c r="T7" s="466"/>
      <c r="U7" s="466"/>
      <c r="V7" s="467">
        <v>53</v>
      </c>
      <c r="W7" s="467">
        <v>44</v>
      </c>
      <c r="X7" s="468"/>
    </row>
    <row r="8" spans="1:24" ht="42.75" customHeight="1" x14ac:dyDescent="0.35">
      <c r="A8" s="465" t="s">
        <v>1119</v>
      </c>
      <c r="B8" s="466"/>
      <c r="C8" s="466"/>
      <c r="D8" s="466"/>
      <c r="E8" s="466"/>
      <c r="F8" s="466"/>
      <c r="G8" s="466"/>
      <c r="H8" s="466"/>
      <c r="I8" s="466"/>
      <c r="J8" s="466"/>
      <c r="K8" s="466"/>
      <c r="L8" s="466"/>
      <c r="M8" s="466"/>
      <c r="N8" s="466"/>
      <c r="O8" s="466"/>
      <c r="P8" s="466"/>
      <c r="Q8" s="466"/>
      <c r="R8" s="466"/>
      <c r="S8" s="466"/>
      <c r="T8" s="466"/>
      <c r="U8" s="466"/>
      <c r="V8" s="467"/>
      <c r="W8" s="467"/>
      <c r="X8" s="468"/>
    </row>
  </sheetData>
  <mergeCells count="1">
    <mergeCell ref="A1:U1"/>
  </mergeCells>
  <pageMargins left="0.70866141732283472" right="0.70866141732283472" top="0.74803149606299213" bottom="0.74803149606299213" header="0.31496062992125984" footer="0.31496062992125984"/>
  <pageSetup paperSize="9" scale="3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фин</vt:lpstr>
      <vt:lpstr>инд</vt:lpstr>
      <vt:lpstr>мб</vt:lpstr>
      <vt:lpstr>оценка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ФЭУ</dc:creator>
  <cp:lastModifiedBy>ФЭУ</cp:lastModifiedBy>
  <cp:lastPrinted>2020-03-24T02:46:16Z</cp:lastPrinted>
  <dcterms:created xsi:type="dcterms:W3CDTF">2019-10-22T23:44:02Z</dcterms:created>
  <dcterms:modified xsi:type="dcterms:W3CDTF">2020-03-24T03:44:34Z</dcterms:modified>
</cp:coreProperties>
</file>