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УЭР\Муниципальные программы\МП\2021\Годовой отчет\"/>
    </mc:Choice>
  </mc:AlternateContent>
  <bookViews>
    <workbookView xWindow="0" yWindow="0" windowWidth="28800" windowHeight="11700" tabRatio="921" activeTab="1"/>
  </bookViews>
  <sheets>
    <sheet name="Критерии оценки" sheetId="1" r:id="rId1"/>
    <sheet name="свод" sheetId="26" r:id="rId2"/>
    <sheet name="мб" sheetId="27" r:id="rId3"/>
    <sheet name="инд" sheetId="21" r:id="rId4"/>
    <sheet name="оценка" sheetId="3" r:id="rId5"/>
    <sheet name="ОКЖ" sheetId="28" r:id="rId6"/>
    <sheet name="дорож" sheetId="29" r:id="rId7"/>
    <sheet name="энергосбер" sheetId="30" r:id="rId8"/>
    <sheet name="сх" sheetId="31" r:id="rId9"/>
    <sheet name="уизо" sheetId="32" r:id="rId10"/>
    <sheet name="предпр" sheetId="33" r:id="rId11"/>
    <sheet name="инф" sheetId="34" r:id="rId12"/>
    <sheet name="кадр" sheetId="35" r:id="rId13"/>
    <sheet name="охр тр" sheetId="36" r:id="rId14"/>
    <sheet name="старшее" sheetId="37" r:id="rId15"/>
    <sheet name="ПКР" sheetId="38" r:id="rId16"/>
    <sheet name="безбарь" sheetId="39" r:id="rId17"/>
    <sheet name="семейн" sheetId="40" r:id="rId18"/>
    <sheet name="правонаруш" sheetId="41" r:id="rId19"/>
    <sheet name="молодежь" sheetId="42" r:id="rId20"/>
    <sheet name="спорт" sheetId="43" r:id="rId21"/>
    <sheet name="образ" sheetId="44" r:id="rId22"/>
    <sheet name="УК" sheetId="45" r:id="rId23"/>
    <sheet name="окр ср" sheetId="46" r:id="rId24"/>
    <sheet name="финансы" sheetId="47" r:id="rId25"/>
    <sheet name="газ" sheetId="48" r:id="rId26"/>
    <sheet name="крст" sheetId="49" r:id="rId27"/>
  </sheets>
  <externalReferences>
    <externalReference r:id="rId28"/>
  </externalReferences>
  <definedNames>
    <definedName name="_xlnm._FilterDatabase" localSheetId="3" hidden="1">инд!$A$3:$H$456</definedName>
    <definedName name="_xlnm._FilterDatabase" localSheetId="2" hidden="1">мб!$A$4:$I$372</definedName>
    <definedName name="_xlnm._FilterDatabase" localSheetId="1" hidden="1">свод!$A$3:$T$378</definedName>
    <definedName name="_xlnm.Print_Area" localSheetId="2">мб!$A$1:$D$371</definedName>
    <definedName name="_xlnm.Print_Area" localSheetId="4">оценка!$A$1:$U$8</definedName>
  </definedNames>
  <calcPr calcId="162913"/>
</workbook>
</file>

<file path=xl/calcChain.xml><?xml version="1.0" encoding="utf-8"?>
<calcChain xmlns="http://schemas.openxmlformats.org/spreadsheetml/2006/main">
  <c r="I12" i="26" l="1"/>
  <c r="O5" i="26"/>
  <c r="V5" i="26" s="1"/>
  <c r="E15" i="49" l="1"/>
  <c r="E14" i="49"/>
  <c r="E13" i="49"/>
  <c r="E12" i="49"/>
  <c r="E11" i="49"/>
  <c r="E16" i="49" s="1"/>
  <c r="A4" i="49"/>
  <c r="E15" i="48"/>
  <c r="E14" i="48"/>
  <c r="E13" i="48"/>
  <c r="E12" i="48"/>
  <c r="E11" i="48"/>
  <c r="E16" i="48" s="1"/>
  <c r="A4" i="48"/>
  <c r="E15" i="47"/>
  <c r="E14" i="47"/>
  <c r="E13" i="47"/>
  <c r="E12" i="47"/>
  <c r="E16" i="47" s="1"/>
  <c r="E11" i="47"/>
  <c r="A4" i="47"/>
  <c r="E15" i="46"/>
  <c r="E14" i="46"/>
  <c r="E13" i="46"/>
  <c r="E12" i="46"/>
  <c r="E11" i="46"/>
  <c r="E16" i="46" s="1"/>
  <c r="A4" i="46"/>
  <c r="E15" i="45"/>
  <c r="E14" i="45"/>
  <c r="E13" i="45"/>
  <c r="E12" i="45"/>
  <c r="E11" i="45"/>
  <c r="E16" i="45" s="1"/>
  <c r="A4" i="45"/>
  <c r="E15" i="44"/>
  <c r="E14" i="44"/>
  <c r="E13" i="44"/>
  <c r="E12" i="44"/>
  <c r="E11" i="44"/>
  <c r="E16" i="44" s="1"/>
  <c r="A4" i="44"/>
  <c r="E15" i="43"/>
  <c r="E14" i="43"/>
  <c r="E13" i="43"/>
  <c r="E12" i="43"/>
  <c r="E16" i="43" s="1"/>
  <c r="E11" i="43"/>
  <c r="A4" i="43"/>
  <c r="E15" i="42"/>
  <c r="E14" i="42"/>
  <c r="E13" i="42"/>
  <c r="E12" i="42"/>
  <c r="E11" i="42"/>
  <c r="E16" i="42" s="1"/>
  <c r="A4" i="42"/>
  <c r="E15" i="41"/>
  <c r="E14" i="41"/>
  <c r="E13" i="41"/>
  <c r="E12" i="41"/>
  <c r="E11" i="41"/>
  <c r="E16" i="41" s="1"/>
  <c r="A4" i="41"/>
  <c r="E15" i="40"/>
  <c r="E14" i="40"/>
  <c r="E13" i="40"/>
  <c r="E12" i="40"/>
  <c r="E11" i="40"/>
  <c r="E16" i="40" s="1"/>
  <c r="A4" i="40"/>
  <c r="E15" i="39"/>
  <c r="E14" i="39"/>
  <c r="E13" i="39"/>
  <c r="E12" i="39"/>
  <c r="E16" i="39" s="1"/>
  <c r="E11" i="39"/>
  <c r="A4" i="39"/>
  <c r="E15" i="38"/>
  <c r="E14" i="38"/>
  <c r="E13" i="38"/>
  <c r="E12" i="38"/>
  <c r="E11" i="38"/>
  <c r="E16" i="38" s="1"/>
  <c r="A4" i="38"/>
  <c r="E15" i="37"/>
  <c r="E14" i="37"/>
  <c r="E13" i="37"/>
  <c r="E12" i="37"/>
  <c r="E11" i="37"/>
  <c r="E16" i="37" s="1"/>
  <c r="A4" i="37"/>
  <c r="E15" i="36"/>
  <c r="E14" i="36"/>
  <c r="E13" i="36"/>
  <c r="E12" i="36"/>
  <c r="E16" i="36" s="1"/>
  <c r="E11" i="36"/>
  <c r="A4" i="36"/>
  <c r="E15" i="35"/>
  <c r="E14" i="35"/>
  <c r="E13" i="35"/>
  <c r="E12" i="35"/>
  <c r="E11" i="35"/>
  <c r="E16" i="35" s="1"/>
  <c r="A4" i="35"/>
  <c r="E15" i="34"/>
  <c r="E14" i="34"/>
  <c r="E13" i="34"/>
  <c r="E12" i="34"/>
  <c r="E11" i="34"/>
  <c r="E16" i="34" s="1"/>
  <c r="A4" i="34"/>
  <c r="E15" i="33"/>
  <c r="E14" i="33"/>
  <c r="E13" i="33"/>
  <c r="E12" i="33"/>
  <c r="E11" i="33"/>
  <c r="E16" i="33" s="1"/>
  <c r="A4" i="33"/>
  <c r="E15" i="32"/>
  <c r="E14" i="32"/>
  <c r="E13" i="32"/>
  <c r="E12" i="32"/>
  <c r="E11" i="32"/>
  <c r="E16" i="32" s="1"/>
  <c r="A4" i="32"/>
  <c r="E15" i="31"/>
  <c r="E14" i="31"/>
  <c r="E13" i="31"/>
  <c r="E12" i="31"/>
  <c r="E11" i="31"/>
  <c r="E16" i="31" s="1"/>
  <c r="A4" i="31"/>
  <c r="E15" i="30"/>
  <c r="E14" i="30"/>
  <c r="E13" i="30"/>
  <c r="E12" i="30"/>
  <c r="E11" i="30"/>
  <c r="E16" i="30" s="1"/>
  <c r="A4" i="30"/>
  <c r="E15" i="29"/>
  <c r="E14" i="29"/>
  <c r="E13" i="29"/>
  <c r="E12" i="29"/>
  <c r="E11" i="29"/>
  <c r="E16" i="29" s="1"/>
  <c r="A4" i="29"/>
  <c r="E15" i="28"/>
  <c r="E14" i="28"/>
  <c r="E13" i="28"/>
  <c r="E12" i="28"/>
  <c r="E11" i="28"/>
  <c r="E16" i="28" s="1"/>
  <c r="A4" i="28"/>
  <c r="O110" i="26" l="1"/>
  <c r="O111" i="26"/>
  <c r="C107" i="26"/>
  <c r="C110" i="26"/>
  <c r="C111" i="26"/>
  <c r="C102" i="26"/>
  <c r="C96" i="26"/>
  <c r="I113" i="26"/>
  <c r="O113" i="26"/>
  <c r="O118" i="26"/>
  <c r="O120" i="26"/>
  <c r="O121" i="26"/>
  <c r="I118" i="26"/>
  <c r="I120" i="26"/>
  <c r="I121" i="26"/>
  <c r="C118" i="26"/>
  <c r="C120" i="26"/>
  <c r="C121" i="26"/>
  <c r="C114" i="26"/>
  <c r="C116" i="26"/>
  <c r="C117" i="26"/>
  <c r="C119" i="26"/>
  <c r="C154" i="26"/>
  <c r="C155" i="26"/>
  <c r="C156" i="26"/>
  <c r="I154" i="26"/>
  <c r="I155" i="26"/>
  <c r="I156" i="26"/>
  <c r="O154" i="26"/>
  <c r="O155" i="26"/>
  <c r="O156" i="26"/>
  <c r="O174" i="26"/>
  <c r="C174" i="26"/>
  <c r="I174" i="26"/>
  <c r="C359" i="26"/>
  <c r="O352" i="26"/>
  <c r="O353" i="26"/>
  <c r="I352" i="26"/>
  <c r="I353" i="26"/>
  <c r="C352" i="26"/>
  <c r="C353" i="26"/>
  <c r="C240" i="26"/>
  <c r="C241" i="26"/>
  <c r="I240" i="26"/>
  <c r="I241" i="26"/>
  <c r="I251" i="26"/>
  <c r="I252" i="26"/>
  <c r="C251" i="26"/>
  <c r="C252" i="26"/>
  <c r="I255" i="26"/>
  <c r="C255" i="26"/>
  <c r="C318" i="26"/>
  <c r="C331" i="26"/>
  <c r="O286" i="26"/>
  <c r="C286" i="26"/>
  <c r="I286" i="26"/>
  <c r="C262" i="26"/>
  <c r="C263" i="26"/>
  <c r="C264" i="26"/>
  <c r="C265" i="26"/>
  <c r="C266" i="26"/>
  <c r="C267" i="26"/>
  <c r="C268" i="26"/>
  <c r="O217" i="26"/>
  <c r="O203" i="26"/>
  <c r="O204" i="26"/>
  <c r="O192" i="26"/>
  <c r="I192" i="26"/>
  <c r="C192" i="26"/>
  <c r="C193" i="26"/>
  <c r="C217" i="26"/>
  <c r="O221" i="26"/>
  <c r="O222" i="26"/>
  <c r="O223" i="26"/>
  <c r="O224" i="26"/>
  <c r="O225" i="26"/>
  <c r="O226" i="26"/>
  <c r="O227" i="26"/>
  <c r="O228" i="26"/>
  <c r="O229" i="26"/>
  <c r="O230" i="26"/>
  <c r="O231" i="26"/>
  <c r="O232" i="26"/>
  <c r="O233" i="26"/>
  <c r="O234" i="26"/>
  <c r="O235" i="26"/>
  <c r="O236" i="26"/>
  <c r="I223" i="26"/>
  <c r="I224" i="26"/>
  <c r="I225" i="26"/>
  <c r="C221" i="26"/>
  <c r="C222" i="26"/>
  <c r="C223" i="26"/>
  <c r="C224" i="26"/>
  <c r="C225" i="26"/>
  <c r="C226" i="26"/>
  <c r="C227" i="26"/>
  <c r="C228" i="26"/>
  <c r="C229" i="26"/>
  <c r="C230" i="26"/>
  <c r="C231" i="26"/>
  <c r="C232" i="26"/>
  <c r="C233" i="26"/>
  <c r="C234" i="26"/>
  <c r="C235" i="26"/>
  <c r="C236" i="26"/>
  <c r="G407" i="21" l="1"/>
  <c r="D372" i="27"/>
  <c r="C372" i="27"/>
  <c r="F337" i="21" l="1"/>
  <c r="G273" i="21"/>
  <c r="G266" i="21"/>
  <c r="F235" i="21"/>
  <c r="F233" i="21"/>
  <c r="G226" i="21"/>
  <c r="G216" i="21"/>
  <c r="G199" i="21"/>
  <c r="F443" i="21"/>
  <c r="G88" i="21" l="1"/>
  <c r="C7" i="27" l="1"/>
  <c r="B4" i="3" l="1"/>
  <c r="R164" i="26" l="1"/>
  <c r="L363" i="26"/>
  <c r="V8" i="26" l="1"/>
  <c r="V10" i="26"/>
  <c r="V11" i="26"/>
  <c r="V13" i="26"/>
  <c r="V14" i="26"/>
  <c r="V15" i="26"/>
  <c r="V17" i="26"/>
  <c r="F422" i="21" l="1"/>
  <c r="U4" i="3" l="1"/>
  <c r="B407" i="21"/>
  <c r="B267" i="27"/>
  <c r="V4" i="3"/>
  <c r="B433" i="21"/>
  <c r="B371" i="27"/>
  <c r="E4" i="3"/>
  <c r="B88" i="21"/>
  <c r="B216" i="27"/>
  <c r="S4" i="3"/>
  <c r="B310" i="21"/>
  <c r="B277" i="27"/>
  <c r="R4" i="3"/>
  <c r="B273" i="21"/>
  <c r="B185" i="27"/>
  <c r="W4" i="3"/>
  <c r="B440" i="21"/>
  <c r="B273" i="27"/>
  <c r="D4" i="3"/>
  <c r="B50" i="21"/>
  <c r="B272" i="27"/>
  <c r="F4" i="3"/>
  <c r="B146" i="21"/>
  <c r="B130" i="27"/>
  <c r="T4" i="3"/>
  <c r="B394" i="21"/>
  <c r="B151" i="27"/>
  <c r="P4" i="3"/>
  <c r="B255" i="21"/>
  <c r="B95" i="27"/>
  <c r="Q4" i="3"/>
  <c r="B266" i="21"/>
  <c r="B114" i="27"/>
  <c r="G4" i="3"/>
  <c r="B168" i="21"/>
  <c r="B175" i="27"/>
  <c r="O102" i="26"/>
  <c r="H4" i="3"/>
  <c r="B180" i="21"/>
  <c r="B155" i="27"/>
  <c r="O69" i="26"/>
  <c r="I69" i="26"/>
  <c r="C69" i="26"/>
  <c r="C83" i="26"/>
  <c r="C84" i="26"/>
  <c r="C85" i="26"/>
  <c r="C86" i="26"/>
  <c r="O83" i="26"/>
  <c r="O84" i="26"/>
  <c r="O85" i="26"/>
  <c r="O86" i="26"/>
  <c r="O4" i="3"/>
  <c r="B244" i="21"/>
  <c r="B78" i="27"/>
  <c r="M4" i="3"/>
  <c r="B226" i="21"/>
  <c r="B90" i="27"/>
  <c r="L4" i="3"/>
  <c r="B216" i="21"/>
  <c r="B68" i="27"/>
  <c r="K4" i="3"/>
  <c r="B212" i="21"/>
  <c r="B42" i="27"/>
  <c r="N4" i="3"/>
  <c r="B230" i="21"/>
  <c r="I41" i="26"/>
  <c r="I42" i="26"/>
  <c r="I44" i="26"/>
  <c r="I45" i="26"/>
  <c r="I46" i="26"/>
  <c r="I47" i="26"/>
  <c r="I49" i="26"/>
  <c r="I51" i="26"/>
  <c r="I52" i="26"/>
  <c r="C41" i="26"/>
  <c r="C42" i="26"/>
  <c r="C44" i="26"/>
  <c r="C45" i="26"/>
  <c r="C46" i="26"/>
  <c r="C47" i="26"/>
  <c r="C49" i="26"/>
  <c r="C51" i="26"/>
  <c r="C52" i="26"/>
  <c r="C56" i="26"/>
  <c r="C57" i="26"/>
  <c r="C59" i="26"/>
  <c r="C60" i="26"/>
  <c r="C62" i="26"/>
  <c r="C63" i="26"/>
  <c r="C64" i="26"/>
  <c r="O56" i="26"/>
  <c r="O57" i="26"/>
  <c r="O59" i="26"/>
  <c r="O60" i="26"/>
  <c r="O62" i="26"/>
  <c r="O63" i="26"/>
  <c r="O64" i="26"/>
  <c r="I56" i="26"/>
  <c r="I57" i="26"/>
  <c r="I59" i="26"/>
  <c r="I60" i="26"/>
  <c r="I62" i="26"/>
  <c r="I63" i="26"/>
  <c r="I64" i="26"/>
  <c r="B54" i="27"/>
  <c r="X6" i="3" l="1"/>
  <c r="X7" i="3"/>
  <c r="X5" i="3"/>
  <c r="X9" i="3" l="1"/>
  <c r="I4" i="3"/>
  <c r="B190" i="21"/>
  <c r="B265" i="27"/>
  <c r="J4" i="3"/>
  <c r="B199" i="21"/>
  <c r="B257" i="27"/>
  <c r="C4" i="3"/>
  <c r="B43" i="21"/>
  <c r="B30" i="27"/>
  <c r="B7" i="21"/>
  <c r="B5" i="27"/>
  <c r="E10" i="21" l="1"/>
  <c r="F428" i="21"/>
  <c r="F447" i="21"/>
  <c r="F221" i="21" l="1"/>
  <c r="F83" i="21" l="1"/>
  <c r="F67" i="21"/>
  <c r="F68" i="21"/>
  <c r="F69" i="21"/>
  <c r="F70" i="21"/>
  <c r="F60" i="21"/>
  <c r="F62" i="21"/>
  <c r="F55" i="21"/>
  <c r="F53" i="21"/>
  <c r="F54" i="21"/>
  <c r="F49" i="21" l="1"/>
  <c r="F46" i="21"/>
  <c r="F47" i="21"/>
  <c r="F103" i="21" l="1"/>
  <c r="F102" i="21"/>
  <c r="F94" i="21"/>
  <c r="F96" i="21"/>
  <c r="F97" i="21"/>
  <c r="F98" i="21"/>
  <c r="F99" i="21"/>
  <c r="F269" i="21" l="1"/>
  <c r="F452" i="21"/>
  <c r="F320" i="21"/>
  <c r="F393" i="21"/>
  <c r="F339" i="21"/>
  <c r="F356" i="21"/>
  <c r="F392" i="21"/>
  <c r="F391" i="21"/>
  <c r="F388" i="21"/>
  <c r="F386" i="21"/>
  <c r="F385" i="21"/>
  <c r="F382" i="21"/>
  <c r="F381" i="21"/>
  <c r="F380" i="21"/>
  <c r="F377" i="21"/>
  <c r="F376" i="21"/>
  <c r="F375" i="21"/>
  <c r="F374" i="21"/>
  <c r="F372" i="21"/>
  <c r="F371" i="21"/>
  <c r="F368" i="21"/>
  <c r="F367" i="21"/>
  <c r="F366" i="21"/>
  <c r="F365" i="21"/>
  <c r="F364" i="21"/>
  <c r="F363" i="21"/>
  <c r="F362" i="21"/>
  <c r="F361" i="21"/>
  <c r="F360" i="21"/>
  <c r="F359" i="21"/>
  <c r="F352" i="21"/>
  <c r="F351" i="21"/>
  <c r="F349" i="21"/>
  <c r="F348" i="21"/>
  <c r="F342" i="21"/>
  <c r="F335" i="21"/>
  <c r="F346" i="21"/>
  <c r="F345" i="21"/>
  <c r="F344" i="21"/>
  <c r="F341" i="21"/>
  <c r="F321" i="21"/>
  <c r="F322" i="21"/>
  <c r="F323" i="21"/>
  <c r="F324" i="21"/>
  <c r="F325" i="21"/>
  <c r="F326" i="21"/>
  <c r="F327" i="21"/>
  <c r="F328" i="21"/>
  <c r="F329" i="21"/>
  <c r="F330" i="21"/>
  <c r="F331" i="21"/>
  <c r="F332" i="21"/>
  <c r="F333" i="21"/>
  <c r="F334" i="21"/>
  <c r="F319" i="21"/>
  <c r="G310" i="21" l="1"/>
  <c r="O240" i="26"/>
  <c r="O241" i="26"/>
  <c r="O251" i="26"/>
  <c r="O252" i="26"/>
  <c r="O255" i="26"/>
  <c r="O277" i="26"/>
  <c r="O331" i="26"/>
  <c r="O265" i="26"/>
  <c r="O264" i="26"/>
  <c r="I331" i="26"/>
  <c r="I264" i="26"/>
  <c r="I265" i="26"/>
  <c r="R350" i="26" l="1"/>
  <c r="L350" i="26"/>
  <c r="L341" i="26"/>
  <c r="F438" i="21" l="1"/>
  <c r="D269" i="27" l="1"/>
  <c r="D271" i="27"/>
  <c r="C271" i="27"/>
  <c r="C269" i="27"/>
  <c r="G142" i="27" l="1"/>
  <c r="G143" i="27"/>
  <c r="G144" i="27"/>
  <c r="G145" i="27"/>
  <c r="G146" i="27"/>
  <c r="G147" i="27"/>
  <c r="G141" i="27"/>
  <c r="E141" i="27"/>
  <c r="E142" i="27"/>
  <c r="E143" i="27"/>
  <c r="E144" i="27"/>
  <c r="E145" i="27"/>
  <c r="E146" i="27"/>
  <c r="E147" i="27"/>
  <c r="R172" i="26" l="1"/>
  <c r="L172" i="26"/>
  <c r="K172" i="26"/>
  <c r="F402" i="21" l="1"/>
  <c r="F401" i="21"/>
  <c r="F397" i="21"/>
  <c r="D152" i="27" l="1"/>
  <c r="R158" i="26"/>
  <c r="F173" i="21" l="1"/>
  <c r="F174" i="21"/>
  <c r="L119" i="26"/>
  <c r="F197" i="21" l="1"/>
  <c r="R36" i="26" l="1"/>
  <c r="F254" i="21"/>
  <c r="F242" i="21" l="1"/>
  <c r="F240" i="21"/>
  <c r="G230" i="21" l="1"/>
  <c r="F202" i="21"/>
  <c r="D24" i="27"/>
  <c r="C24" i="27"/>
  <c r="F39" i="21" l="1"/>
  <c r="D23" i="27"/>
  <c r="C23" i="27"/>
  <c r="D222" i="27" l="1"/>
  <c r="C222" i="27"/>
  <c r="D240" i="27"/>
  <c r="C240" i="27"/>
  <c r="D241" i="27"/>
  <c r="D242" i="27"/>
  <c r="C241" i="27"/>
  <c r="C242" i="27"/>
  <c r="D237" i="27"/>
  <c r="C237" i="27"/>
  <c r="C239" i="27" l="1"/>
  <c r="E222" i="27"/>
  <c r="V7" i="26"/>
  <c r="L13" i="26"/>
  <c r="I196" i="26" l="1"/>
  <c r="O209" i="26" l="1"/>
  <c r="I209" i="26"/>
  <c r="E32" i="27" l="1"/>
  <c r="E33" i="27"/>
  <c r="E34" i="27"/>
  <c r="R21" i="26" l="1"/>
  <c r="L21" i="26"/>
  <c r="C17" i="27" l="1"/>
  <c r="U6" i="26"/>
  <c r="R13" i="26"/>
  <c r="R17" i="26"/>
  <c r="L17" i="26"/>
  <c r="L16" i="26"/>
  <c r="L12" i="26"/>
  <c r="L6" i="26"/>
  <c r="F429" i="21" l="1"/>
  <c r="L216" i="26" l="1"/>
  <c r="R227" i="26"/>
  <c r="L227" i="26"/>
  <c r="L234" i="26"/>
  <c r="F92" i="21"/>
  <c r="F110" i="21"/>
  <c r="F116" i="21"/>
  <c r="F115" i="21"/>
  <c r="F114" i="21"/>
  <c r="F118" i="21"/>
  <c r="F119" i="21"/>
  <c r="F122" i="21"/>
  <c r="F123" i="21"/>
  <c r="D220" i="27" l="1"/>
  <c r="L188" i="26" l="1"/>
  <c r="F140" i="21" l="1"/>
  <c r="F144" i="21" l="1"/>
  <c r="F136" i="21"/>
  <c r="J180" i="26" l="1"/>
  <c r="K180" i="26"/>
  <c r="I181" i="26"/>
  <c r="K188" i="26"/>
  <c r="G219" i="27" l="1"/>
  <c r="G225" i="27"/>
  <c r="G226" i="27"/>
  <c r="F86" i="21" l="1"/>
  <c r="F87" i="21"/>
  <c r="F85" i="21"/>
  <c r="F193" i="21" l="1"/>
  <c r="F194" i="21"/>
  <c r="F78" i="21" l="1"/>
  <c r="F77" i="21"/>
  <c r="G244" i="21" l="1"/>
  <c r="F229" i="21"/>
  <c r="F45" i="21" l="1"/>
  <c r="G43" i="21" s="1"/>
  <c r="G8" i="27" l="1"/>
  <c r="G9" i="27"/>
  <c r="G10" i="27"/>
  <c r="G11" i="27"/>
  <c r="G12" i="27"/>
  <c r="G13" i="27"/>
  <c r="G14" i="27"/>
  <c r="G24" i="27"/>
  <c r="G25" i="27"/>
  <c r="G26" i="27"/>
  <c r="G27" i="27"/>
  <c r="E24" i="27"/>
  <c r="E25" i="27"/>
  <c r="E26" i="27"/>
  <c r="E27" i="27"/>
  <c r="E8" i="27"/>
  <c r="E9" i="27"/>
  <c r="E10" i="27"/>
  <c r="E11" i="27"/>
  <c r="E12" i="27"/>
  <c r="E13" i="27"/>
  <c r="E14" i="27"/>
  <c r="S234" i="26" l="1"/>
  <c r="T234" i="26"/>
  <c r="U25" i="26"/>
  <c r="U29" i="26"/>
  <c r="U27" i="26" s="1"/>
  <c r="U32" i="26"/>
  <c r="U24" i="26" l="1"/>
  <c r="M234" i="26"/>
  <c r="N234" i="26"/>
  <c r="U21" i="26" l="1"/>
  <c r="U20" i="26" s="1"/>
  <c r="D7" i="27" l="1"/>
  <c r="F42" i="21"/>
  <c r="F31" i="21"/>
  <c r="F10" i="21"/>
  <c r="T32" i="26"/>
  <c r="H32" i="26"/>
  <c r="N32" i="26"/>
  <c r="O35" i="26"/>
  <c r="I35" i="26"/>
  <c r="C35" i="26"/>
  <c r="U110" i="26"/>
  <c r="U107" i="26"/>
  <c r="U101" i="26"/>
  <c r="U95" i="26"/>
  <c r="U94" i="26"/>
  <c r="U93" i="26" s="1"/>
  <c r="F185" i="21"/>
  <c r="D266" i="27"/>
  <c r="C266" i="27"/>
  <c r="C263" i="27"/>
  <c r="D279" i="27"/>
  <c r="D280" i="27"/>
  <c r="D281" i="27"/>
  <c r="D282" i="27"/>
  <c r="D283" i="27"/>
  <c r="D286" i="27"/>
  <c r="D287" i="27"/>
  <c r="D288" i="27"/>
  <c r="D289" i="27"/>
  <c r="D290" i="27"/>
  <c r="D291" i="27"/>
  <c r="D292" i="27"/>
  <c r="D293" i="27"/>
  <c r="D294" i="27"/>
  <c r="D295" i="27"/>
  <c r="D297" i="27"/>
  <c r="D298" i="27"/>
  <c r="D299" i="27"/>
  <c r="D300" i="27"/>
  <c r="D301" i="27"/>
  <c r="D302" i="27"/>
  <c r="D303" i="27"/>
  <c r="D304" i="27"/>
  <c r="D305" i="27"/>
  <c r="D306" i="27"/>
  <c r="D307" i="27"/>
  <c r="D308" i="27"/>
  <c r="D309" i="27"/>
  <c r="D310" i="27"/>
  <c r="D311" i="27"/>
  <c r="D312" i="27"/>
  <c r="D313" i="27"/>
  <c r="D314" i="27"/>
  <c r="D315" i="27"/>
  <c r="D317" i="27"/>
  <c r="D320" i="27"/>
  <c r="D321" i="27"/>
  <c r="D322" i="27"/>
  <c r="D323" i="27"/>
  <c r="D324" i="27"/>
  <c r="D326" i="27"/>
  <c r="D327" i="27"/>
  <c r="D328" i="27"/>
  <c r="D329" i="27"/>
  <c r="D330" i="27"/>
  <c r="D331" i="27"/>
  <c r="D332" i="27"/>
  <c r="D333" i="27"/>
  <c r="D334" i="27"/>
  <c r="D335" i="27"/>
  <c r="D338" i="27"/>
  <c r="D339" i="27"/>
  <c r="D340" i="27"/>
  <c r="D341" i="27"/>
  <c r="D343" i="27"/>
  <c r="D346" i="27"/>
  <c r="D347" i="27"/>
  <c r="D349" i="27"/>
  <c r="D353" i="27"/>
  <c r="D354" i="27"/>
  <c r="D355" i="27"/>
  <c r="D356" i="27"/>
  <c r="D358" i="27"/>
  <c r="D359" i="27"/>
  <c r="D361" i="27"/>
  <c r="D362" i="27"/>
  <c r="D363" i="27"/>
  <c r="D364" i="27"/>
  <c r="D365" i="27"/>
  <c r="D366" i="27"/>
  <c r="D368" i="27"/>
  <c r="D369" i="27"/>
  <c r="D370" i="27"/>
  <c r="C279" i="27"/>
  <c r="C280" i="27"/>
  <c r="C281" i="27"/>
  <c r="C282" i="27"/>
  <c r="C283" i="27"/>
  <c r="C286" i="27"/>
  <c r="C287" i="27"/>
  <c r="C288" i="27"/>
  <c r="C289" i="27"/>
  <c r="C290" i="27"/>
  <c r="C291" i="27"/>
  <c r="C292" i="27"/>
  <c r="C293" i="27"/>
  <c r="C294" i="27"/>
  <c r="C295" i="27"/>
  <c r="C297" i="27"/>
  <c r="C298" i="27"/>
  <c r="C299" i="27"/>
  <c r="C300" i="27"/>
  <c r="C301" i="27"/>
  <c r="C302" i="27"/>
  <c r="C303" i="27"/>
  <c r="C304" i="27"/>
  <c r="C305" i="27"/>
  <c r="C306" i="27"/>
  <c r="C307" i="27"/>
  <c r="C308" i="27"/>
  <c r="C309" i="27"/>
  <c r="C310" i="27"/>
  <c r="C311" i="27"/>
  <c r="C312" i="27"/>
  <c r="C313" i="27"/>
  <c r="C314" i="27"/>
  <c r="C315" i="27"/>
  <c r="C317" i="27"/>
  <c r="C320" i="27"/>
  <c r="C321" i="27"/>
  <c r="C322" i="27"/>
  <c r="C323" i="27"/>
  <c r="C324" i="27"/>
  <c r="C326" i="27"/>
  <c r="C327" i="27"/>
  <c r="C328" i="27"/>
  <c r="C329" i="27"/>
  <c r="C330" i="27"/>
  <c r="C331" i="27"/>
  <c r="C332" i="27"/>
  <c r="C333" i="27"/>
  <c r="C334" i="27"/>
  <c r="C335" i="27"/>
  <c r="C338" i="27"/>
  <c r="C339" i="27"/>
  <c r="C340" i="27"/>
  <c r="C341" i="27"/>
  <c r="C343" i="27"/>
  <c r="C346" i="27"/>
  <c r="C347" i="27"/>
  <c r="C349" i="27"/>
  <c r="C353" i="27"/>
  <c r="C354" i="27"/>
  <c r="C355" i="27"/>
  <c r="C356" i="27"/>
  <c r="C358" i="27"/>
  <c r="C359" i="27"/>
  <c r="C361" i="27"/>
  <c r="C362" i="27"/>
  <c r="C363" i="27"/>
  <c r="C364" i="27"/>
  <c r="C365" i="27"/>
  <c r="C366" i="27"/>
  <c r="C368" i="27"/>
  <c r="C369" i="27"/>
  <c r="C370" i="27"/>
  <c r="D276" i="27"/>
  <c r="C276" i="27"/>
  <c r="D246" i="27"/>
  <c r="C246" i="27"/>
  <c r="C245" i="27" s="1"/>
  <c r="D239" i="27"/>
  <c r="D230" i="27"/>
  <c r="D229" i="27"/>
  <c r="C230" i="27"/>
  <c r="C229" i="27"/>
  <c r="D256" i="27"/>
  <c r="D255" i="27"/>
  <c r="C256" i="27"/>
  <c r="C255" i="27"/>
  <c r="D253" i="27"/>
  <c r="D252" i="27"/>
  <c r="C252" i="27"/>
  <c r="D249" i="27"/>
  <c r="C249" i="27"/>
  <c r="C250" i="27"/>
  <c r="E250" i="27" s="1"/>
  <c r="C248" i="27"/>
  <c r="E248" i="27" s="1"/>
  <c r="D244" i="27"/>
  <c r="C244" i="27"/>
  <c r="R157" i="26"/>
  <c r="L158" i="26"/>
  <c r="L157" i="26" s="1"/>
  <c r="F158" i="26"/>
  <c r="F157" i="26" s="1"/>
  <c r="D232" i="27"/>
  <c r="D231" i="27" s="1"/>
  <c r="C232" i="27"/>
  <c r="C231" i="27" s="1"/>
  <c r="D227" i="27"/>
  <c r="C227" i="27"/>
  <c r="D223" i="27"/>
  <c r="D221" i="27" s="1"/>
  <c r="C223" i="27"/>
  <c r="C221" i="27" s="1"/>
  <c r="B223" i="27"/>
  <c r="C220" i="27"/>
  <c r="D177" i="27"/>
  <c r="D179" i="27"/>
  <c r="D180" i="27"/>
  <c r="D181" i="27"/>
  <c r="D183" i="27"/>
  <c r="D184" i="27"/>
  <c r="C177" i="27"/>
  <c r="C179" i="27"/>
  <c r="C180" i="27"/>
  <c r="C181" i="27"/>
  <c r="C183" i="27"/>
  <c r="C184" i="27"/>
  <c r="D157" i="27"/>
  <c r="D159" i="27"/>
  <c r="D160" i="27"/>
  <c r="D161" i="27"/>
  <c r="D162" i="27"/>
  <c r="D165" i="27"/>
  <c r="D166" i="27"/>
  <c r="D167" i="27"/>
  <c r="D168" i="27"/>
  <c r="D169" i="27"/>
  <c r="D171" i="27"/>
  <c r="D172" i="27"/>
  <c r="D174" i="27"/>
  <c r="C157" i="27"/>
  <c r="C159" i="27"/>
  <c r="C160" i="27"/>
  <c r="C161" i="27"/>
  <c r="C162" i="27"/>
  <c r="C165" i="27"/>
  <c r="C166" i="27"/>
  <c r="C167" i="27"/>
  <c r="C168" i="27"/>
  <c r="C169" i="27"/>
  <c r="C171" i="27"/>
  <c r="C172" i="27"/>
  <c r="C174" i="27"/>
  <c r="D151" i="27"/>
  <c r="D94" i="27"/>
  <c r="D92" i="27"/>
  <c r="C94" i="27"/>
  <c r="C92" i="27"/>
  <c r="U173" i="26"/>
  <c r="U172" i="26" s="1"/>
  <c r="U170" i="26"/>
  <c r="U164" i="26"/>
  <c r="U163" i="26" s="1"/>
  <c r="U162" i="26"/>
  <c r="D187" i="27"/>
  <c r="D189" i="27"/>
  <c r="D190" i="27"/>
  <c r="D193" i="27"/>
  <c r="D194" i="27"/>
  <c r="D195" i="27"/>
  <c r="D197" i="27"/>
  <c r="D198" i="27"/>
  <c r="D202" i="27"/>
  <c r="D203" i="27"/>
  <c r="D205" i="27"/>
  <c r="D206" i="27"/>
  <c r="D207" i="27"/>
  <c r="D208" i="27"/>
  <c r="D209" i="27"/>
  <c r="D211" i="27"/>
  <c r="D213" i="27"/>
  <c r="D214" i="27"/>
  <c r="D215" i="27"/>
  <c r="C187" i="27"/>
  <c r="C189" i="27"/>
  <c r="C190" i="27"/>
  <c r="C193" i="27"/>
  <c r="C194" i="27"/>
  <c r="C195" i="27"/>
  <c r="C197" i="27"/>
  <c r="C198" i="27"/>
  <c r="C202" i="27"/>
  <c r="C203" i="27"/>
  <c r="C205" i="27"/>
  <c r="C206" i="27"/>
  <c r="C207" i="27"/>
  <c r="C208" i="27"/>
  <c r="C209" i="27"/>
  <c r="C211" i="27"/>
  <c r="C214" i="27"/>
  <c r="C215" i="27"/>
  <c r="D134" i="27"/>
  <c r="D135" i="27"/>
  <c r="D136" i="27"/>
  <c r="D137" i="27"/>
  <c r="D140" i="27"/>
  <c r="D149" i="27"/>
  <c r="D150" i="27"/>
  <c r="D131" i="27"/>
  <c r="C150" i="27"/>
  <c r="C149" i="27"/>
  <c r="C140" i="27"/>
  <c r="C137" i="27"/>
  <c r="C136" i="27"/>
  <c r="C135" i="27"/>
  <c r="C134" i="27"/>
  <c r="C131" i="27"/>
  <c r="D129" i="27"/>
  <c r="D128" i="27"/>
  <c r="D126" i="27"/>
  <c r="D124" i="27"/>
  <c r="D123" i="27"/>
  <c r="D122" i="27"/>
  <c r="D120" i="27"/>
  <c r="D119" i="27"/>
  <c r="D117" i="27"/>
  <c r="D116" i="27"/>
  <c r="C129" i="27"/>
  <c r="C128" i="27"/>
  <c r="C126" i="27"/>
  <c r="C124" i="27"/>
  <c r="C123" i="27"/>
  <c r="C122" i="27"/>
  <c r="C120" i="27"/>
  <c r="C119" i="27"/>
  <c r="C117" i="27"/>
  <c r="C116" i="27"/>
  <c r="D98" i="27"/>
  <c r="D99" i="27"/>
  <c r="D101" i="27"/>
  <c r="D102" i="27"/>
  <c r="D104" i="27"/>
  <c r="D105" i="27"/>
  <c r="D106" i="27"/>
  <c r="D108" i="27"/>
  <c r="D109" i="27"/>
  <c r="D111" i="27"/>
  <c r="D112" i="27"/>
  <c r="D113" i="27"/>
  <c r="C98" i="27"/>
  <c r="C99" i="27"/>
  <c r="C101" i="27"/>
  <c r="C102" i="27"/>
  <c r="C104" i="27"/>
  <c r="C106" i="27"/>
  <c r="C108" i="27"/>
  <c r="C109" i="27"/>
  <c r="C111" i="27"/>
  <c r="C112" i="27"/>
  <c r="C113" i="27"/>
  <c r="D89" i="27"/>
  <c r="D87" i="27"/>
  <c r="D86" i="27"/>
  <c r="D84" i="27"/>
  <c r="D83" i="27"/>
  <c r="D82" i="27"/>
  <c r="D81" i="27"/>
  <c r="C89" i="27"/>
  <c r="C87" i="27"/>
  <c r="C86" i="27"/>
  <c r="C84" i="27"/>
  <c r="C83" i="27"/>
  <c r="C82" i="27"/>
  <c r="C81" i="27"/>
  <c r="D77" i="27"/>
  <c r="D75" i="27"/>
  <c r="D74" i="27"/>
  <c r="D73" i="27"/>
  <c r="D72" i="27"/>
  <c r="D71" i="27"/>
  <c r="D69" i="27"/>
  <c r="C77" i="27"/>
  <c r="C75" i="27"/>
  <c r="C74" i="27"/>
  <c r="C73" i="27"/>
  <c r="C72" i="27"/>
  <c r="C71" i="27"/>
  <c r="C69" i="27"/>
  <c r="D67" i="27"/>
  <c r="D66" i="27"/>
  <c r="C67" i="27"/>
  <c r="C66" i="27"/>
  <c r="D64" i="27"/>
  <c r="C64" i="27"/>
  <c r="D60" i="27"/>
  <c r="D61" i="27"/>
  <c r="D62" i="27"/>
  <c r="D59" i="27"/>
  <c r="C61" i="27"/>
  <c r="C62" i="27"/>
  <c r="C60" i="27"/>
  <c r="C59" i="27"/>
  <c r="D57" i="27"/>
  <c r="C57" i="27"/>
  <c r="D52" i="27"/>
  <c r="D53" i="27"/>
  <c r="D51" i="27"/>
  <c r="C52" i="27"/>
  <c r="C53" i="27"/>
  <c r="C51" i="27"/>
  <c r="D49" i="27"/>
  <c r="D48" i="27"/>
  <c r="C49" i="27"/>
  <c r="C48" i="27"/>
  <c r="D46" i="27"/>
  <c r="D45" i="27"/>
  <c r="C46" i="27"/>
  <c r="C45" i="27"/>
  <c r="D36" i="27"/>
  <c r="C36" i="27"/>
  <c r="G38" i="27"/>
  <c r="E38" i="27"/>
  <c r="D31" i="27"/>
  <c r="E35" i="27"/>
  <c r="G35" i="27"/>
  <c r="C31" i="27"/>
  <c r="F404" i="21"/>
  <c r="G394" i="21" s="1"/>
  <c r="F260" i="21"/>
  <c r="D17" i="27"/>
  <c r="D28" i="27"/>
  <c r="D29" i="27"/>
  <c r="C28" i="27"/>
  <c r="C29" i="27"/>
  <c r="B23" i="27"/>
  <c r="B28" i="27"/>
  <c r="B29" i="27"/>
  <c r="B22" i="27"/>
  <c r="R16" i="26"/>
  <c r="V16" i="26" s="1"/>
  <c r="O19" i="26"/>
  <c r="O18" i="26"/>
  <c r="I19" i="26"/>
  <c r="I18" i="26"/>
  <c r="D21" i="27"/>
  <c r="C21" i="27"/>
  <c r="C18" i="27" s="1"/>
  <c r="C15" i="27"/>
  <c r="B15" i="27"/>
  <c r="F299" i="21"/>
  <c r="F296" i="21"/>
  <c r="F295" i="21"/>
  <c r="F294" i="21"/>
  <c r="F293" i="21"/>
  <c r="F292" i="21"/>
  <c r="F286" i="21"/>
  <c r="F285" i="21"/>
  <c r="F283" i="21"/>
  <c r="F281" i="21"/>
  <c r="F278" i="21"/>
  <c r="F279" i="21"/>
  <c r="O365" i="26"/>
  <c r="O364" i="26"/>
  <c r="O363" i="26"/>
  <c r="O361" i="26"/>
  <c r="O359" i="26"/>
  <c r="U342" i="26"/>
  <c r="U341" i="26" s="1"/>
  <c r="U351" i="26"/>
  <c r="U350" i="26" s="1"/>
  <c r="U345" i="26"/>
  <c r="U337" i="26"/>
  <c r="U336" i="26"/>
  <c r="U50" i="26"/>
  <c r="U43" i="26"/>
  <c r="U40" i="26"/>
  <c r="U133" i="26"/>
  <c r="U129" i="26"/>
  <c r="U126" i="26"/>
  <c r="F245" i="26"/>
  <c r="L133" i="26"/>
  <c r="C125" i="27" s="1"/>
  <c r="R133" i="26"/>
  <c r="D125" i="27" s="1"/>
  <c r="U12" i="26"/>
  <c r="U16" i="26"/>
  <c r="J9" i="26"/>
  <c r="J12" i="26"/>
  <c r="K12" i="26"/>
  <c r="U9" i="26"/>
  <c r="P12" i="26"/>
  <c r="Q12" i="26"/>
  <c r="P9" i="26"/>
  <c r="R12" i="26"/>
  <c r="V12" i="26" s="1"/>
  <c r="F225" i="21"/>
  <c r="U146" i="26"/>
  <c r="U144" i="26"/>
  <c r="U143" i="26" s="1"/>
  <c r="U119" i="26"/>
  <c r="U115" i="26"/>
  <c r="U114" i="26"/>
  <c r="U113" i="26" s="1"/>
  <c r="U73" i="26"/>
  <c r="U67" i="26"/>
  <c r="U58" i="26"/>
  <c r="U54" i="26" s="1"/>
  <c r="U53" i="26" s="1"/>
  <c r="U82" i="26"/>
  <c r="U87" i="26"/>
  <c r="U90" i="26"/>
  <c r="O196" i="26"/>
  <c r="U230" i="26"/>
  <c r="U210" i="26"/>
  <c r="U209" i="26"/>
  <c r="U208" i="26" s="1"/>
  <c r="U205" i="26"/>
  <c r="U204" i="26"/>
  <c r="U200" i="26" s="1"/>
  <c r="U194" i="26"/>
  <c r="Q188" i="26"/>
  <c r="Q187" i="26" s="1"/>
  <c r="U189" i="26"/>
  <c r="U188" i="26" s="1"/>
  <c r="U187" i="26" s="1"/>
  <c r="E175" i="21"/>
  <c r="F175" i="21" s="1"/>
  <c r="G168" i="21" s="1"/>
  <c r="Q216" i="26"/>
  <c r="R234" i="26"/>
  <c r="T230" i="26"/>
  <c r="S230" i="26"/>
  <c r="R230" i="26"/>
  <c r="Q230" i="26"/>
  <c r="P230" i="26"/>
  <c r="T219" i="26"/>
  <c r="S219" i="26"/>
  <c r="R219" i="26"/>
  <c r="Q219" i="26"/>
  <c r="P219" i="26"/>
  <c r="R223" i="26"/>
  <c r="R221" i="26"/>
  <c r="T200" i="26"/>
  <c r="S200" i="26"/>
  <c r="R200" i="26"/>
  <c r="Q200" i="26"/>
  <c r="P200" i="26"/>
  <c r="T194" i="26"/>
  <c r="S194" i="26"/>
  <c r="R194" i="26"/>
  <c r="Q194" i="26"/>
  <c r="P194" i="26"/>
  <c r="T188" i="26"/>
  <c r="T187" i="26" s="1"/>
  <c r="S188" i="26"/>
  <c r="S187" i="26" s="1"/>
  <c r="R188" i="26"/>
  <c r="R187" i="26" s="1"/>
  <c r="P188" i="26"/>
  <c r="P187" i="26" s="1"/>
  <c r="N216" i="26"/>
  <c r="M216" i="26"/>
  <c r="K216" i="26"/>
  <c r="J216" i="26"/>
  <c r="I235" i="26"/>
  <c r="I236" i="26"/>
  <c r="I234" i="26"/>
  <c r="M194" i="26"/>
  <c r="N194" i="26"/>
  <c r="J194" i="26"/>
  <c r="K194" i="26"/>
  <c r="L194" i="26"/>
  <c r="I229" i="26"/>
  <c r="L221" i="26"/>
  <c r="I221" i="26" s="1"/>
  <c r="L223" i="26"/>
  <c r="F227" i="26"/>
  <c r="F221" i="26"/>
  <c r="F223" i="26"/>
  <c r="M230" i="26"/>
  <c r="N230" i="26"/>
  <c r="I217" i="26"/>
  <c r="I218" i="26"/>
  <c r="I220" i="26"/>
  <c r="I226" i="26"/>
  <c r="I228" i="26"/>
  <c r="I231" i="26"/>
  <c r="I232" i="26"/>
  <c r="I233" i="26"/>
  <c r="J230" i="26"/>
  <c r="K230" i="26"/>
  <c r="L230" i="26"/>
  <c r="T208" i="26"/>
  <c r="S208" i="26"/>
  <c r="R208" i="26"/>
  <c r="Q208" i="26"/>
  <c r="P208" i="26"/>
  <c r="N208" i="26"/>
  <c r="M208" i="26"/>
  <c r="L208" i="26"/>
  <c r="K208" i="26"/>
  <c r="J208" i="26"/>
  <c r="T205" i="26"/>
  <c r="S205" i="26"/>
  <c r="R205" i="26"/>
  <c r="Q205" i="26"/>
  <c r="P205" i="26"/>
  <c r="N205" i="26"/>
  <c r="M205" i="26"/>
  <c r="L205" i="26"/>
  <c r="K205" i="26"/>
  <c r="J205" i="26"/>
  <c r="T197" i="26"/>
  <c r="S197" i="26"/>
  <c r="R197" i="26"/>
  <c r="Q197" i="26"/>
  <c r="P197" i="26"/>
  <c r="N197" i="26"/>
  <c r="M197" i="26"/>
  <c r="L197" i="26"/>
  <c r="K197" i="26"/>
  <c r="J197" i="26"/>
  <c r="N188" i="26"/>
  <c r="N187" i="26" s="1"/>
  <c r="M188" i="26"/>
  <c r="M187" i="26" s="1"/>
  <c r="L187" i="26"/>
  <c r="K187" i="26"/>
  <c r="J188" i="26"/>
  <c r="J187" i="26" s="1"/>
  <c r="E188" i="26"/>
  <c r="E187" i="26" s="1"/>
  <c r="G194" i="26"/>
  <c r="H194" i="26"/>
  <c r="D194" i="26"/>
  <c r="E194" i="26"/>
  <c r="F194" i="26"/>
  <c r="G205" i="26"/>
  <c r="H205" i="26"/>
  <c r="D205" i="26"/>
  <c r="E205" i="26"/>
  <c r="F197" i="26"/>
  <c r="G197" i="26"/>
  <c r="H197" i="26"/>
  <c r="D197" i="26"/>
  <c r="E197" i="26"/>
  <c r="D208" i="26"/>
  <c r="E208" i="26"/>
  <c r="G208" i="26"/>
  <c r="H208" i="26"/>
  <c r="F208" i="26"/>
  <c r="C209" i="26"/>
  <c r="F188" i="26"/>
  <c r="F187" i="26" s="1"/>
  <c r="F230" i="26"/>
  <c r="E216" i="26"/>
  <c r="R314" i="26"/>
  <c r="D352" i="27" s="1"/>
  <c r="R256" i="26"/>
  <c r="D296" i="27" s="1"/>
  <c r="R245" i="26"/>
  <c r="D285" i="27" s="1"/>
  <c r="R238" i="26"/>
  <c r="O327" i="26"/>
  <c r="P329" i="26"/>
  <c r="Q329" i="26"/>
  <c r="R329" i="26"/>
  <c r="D367" i="27" s="1"/>
  <c r="O318" i="26"/>
  <c r="R281" i="26"/>
  <c r="D319" i="27" s="1"/>
  <c r="O262" i="26"/>
  <c r="O263" i="26"/>
  <c r="O266" i="26"/>
  <c r="O267" i="26"/>
  <c r="O268" i="26"/>
  <c r="L319" i="26"/>
  <c r="C357" i="27" s="1"/>
  <c r="L314" i="26"/>
  <c r="C352" i="27" s="1"/>
  <c r="I318" i="26"/>
  <c r="L281" i="26"/>
  <c r="C319" i="27" s="1"/>
  <c r="L256" i="26"/>
  <c r="C296" i="27" s="1"/>
  <c r="I277" i="26"/>
  <c r="I262" i="26"/>
  <c r="I263" i="26"/>
  <c r="I266" i="26"/>
  <c r="I267" i="26"/>
  <c r="I268" i="26"/>
  <c r="L245" i="26"/>
  <c r="C285" i="27" s="1"/>
  <c r="F314" i="26"/>
  <c r="F256" i="26"/>
  <c r="C277" i="26"/>
  <c r="F167" i="21"/>
  <c r="F159" i="21"/>
  <c r="R43" i="26"/>
  <c r="R41" i="26"/>
  <c r="R40" i="26" s="1"/>
  <c r="O40" i="26" s="1"/>
  <c r="R50" i="26"/>
  <c r="L41" i="26"/>
  <c r="C56" i="27" s="1"/>
  <c r="L43" i="26"/>
  <c r="I43" i="26" s="1"/>
  <c r="F43" i="26"/>
  <c r="C43" i="26" s="1"/>
  <c r="R107" i="26"/>
  <c r="D170" i="27" s="1"/>
  <c r="R101" i="26"/>
  <c r="R110" i="26"/>
  <c r="D173" i="27" s="1"/>
  <c r="I96" i="26"/>
  <c r="I97" i="26"/>
  <c r="I98" i="26"/>
  <c r="I99" i="26"/>
  <c r="I102" i="26"/>
  <c r="I111" i="26"/>
  <c r="L110" i="26"/>
  <c r="I110" i="26" s="1"/>
  <c r="L107" i="26"/>
  <c r="I107" i="26" s="1"/>
  <c r="L101" i="26"/>
  <c r="C164" i="27" s="1"/>
  <c r="O96" i="26"/>
  <c r="R95" i="26"/>
  <c r="D158" i="27" s="1"/>
  <c r="L95" i="26"/>
  <c r="C158" i="27" s="1"/>
  <c r="F95" i="26"/>
  <c r="F101" i="26"/>
  <c r="C101" i="26" s="1"/>
  <c r="F107" i="26"/>
  <c r="L369" i="26"/>
  <c r="L368" i="26" s="1"/>
  <c r="L367" i="26" s="1"/>
  <c r="K369" i="26"/>
  <c r="K368" i="26" s="1"/>
  <c r="K367" i="26" s="1"/>
  <c r="J369" i="26"/>
  <c r="J368" i="26" s="1"/>
  <c r="J367" i="26" s="1"/>
  <c r="T341" i="26"/>
  <c r="T340" i="26" s="1"/>
  <c r="S350" i="26"/>
  <c r="T350" i="26"/>
  <c r="T349" i="26" s="1"/>
  <c r="P340" i="26"/>
  <c r="Q340" i="26"/>
  <c r="P362" i="26"/>
  <c r="P360" i="26" s="1"/>
  <c r="Q362" i="26"/>
  <c r="Q360" i="26" s="1"/>
  <c r="D196" i="27"/>
  <c r="R362" i="26"/>
  <c r="R360" i="26" s="1"/>
  <c r="D210" i="27" s="1"/>
  <c r="R341" i="26"/>
  <c r="D192" i="27" s="1"/>
  <c r="L345" i="26"/>
  <c r="C196" i="27" s="1"/>
  <c r="I363" i="26"/>
  <c r="U363" i="26" s="1"/>
  <c r="U362" i="26" s="1"/>
  <c r="J349" i="26"/>
  <c r="K349" i="26"/>
  <c r="J360" i="26"/>
  <c r="K360" i="26"/>
  <c r="J340" i="26"/>
  <c r="K340" i="26"/>
  <c r="I359" i="26"/>
  <c r="I364" i="26"/>
  <c r="I365" i="26"/>
  <c r="U365" i="26" s="1"/>
  <c r="D278" i="27" l="1"/>
  <c r="D164" i="27"/>
  <c r="O101" i="26"/>
  <c r="U5" i="26"/>
  <c r="E150" i="27"/>
  <c r="E136" i="27"/>
  <c r="E137" i="27"/>
  <c r="E266" i="27"/>
  <c r="E135" i="27"/>
  <c r="C50" i="27"/>
  <c r="E134" i="27"/>
  <c r="C22" i="27"/>
  <c r="C6" i="27"/>
  <c r="G172" i="27"/>
  <c r="G171" i="27"/>
  <c r="G174" i="27"/>
  <c r="G223" i="27"/>
  <c r="U335" i="26"/>
  <c r="D22" i="27"/>
  <c r="G227" i="27"/>
  <c r="E174" i="27"/>
  <c r="E172" i="27"/>
  <c r="C218" i="27"/>
  <c r="G220" i="27"/>
  <c r="G21" i="27"/>
  <c r="U100" i="26"/>
  <c r="U92" i="26" s="1"/>
  <c r="G17" i="27"/>
  <c r="G23" i="27"/>
  <c r="G15" i="27"/>
  <c r="E15" i="27"/>
  <c r="G29" i="27"/>
  <c r="G19" i="27"/>
  <c r="G28" i="27"/>
  <c r="G370" i="27"/>
  <c r="D6" i="27"/>
  <c r="E7" i="27"/>
  <c r="O360" i="26"/>
  <c r="D212" i="27"/>
  <c r="C253" i="27"/>
  <c r="G253" i="27" s="1"/>
  <c r="G362" i="27"/>
  <c r="E369" i="27"/>
  <c r="E365" i="27"/>
  <c r="C254" i="27"/>
  <c r="G368" i="27"/>
  <c r="G352" i="27"/>
  <c r="G359" i="27"/>
  <c r="G366" i="27"/>
  <c r="G358" i="27"/>
  <c r="E363" i="27"/>
  <c r="E355" i="27"/>
  <c r="G252" i="27"/>
  <c r="E361" i="27"/>
  <c r="E353" i="27"/>
  <c r="E246" i="27"/>
  <c r="G354" i="27"/>
  <c r="E366" i="27"/>
  <c r="E358" i="27"/>
  <c r="G249" i="27"/>
  <c r="E255" i="27"/>
  <c r="E364" i="27"/>
  <c r="E356" i="27"/>
  <c r="E370" i="27"/>
  <c r="E362" i="27"/>
  <c r="E354" i="27"/>
  <c r="G369" i="27"/>
  <c r="G361" i="27"/>
  <c r="G353" i="27"/>
  <c r="G363" i="27"/>
  <c r="G355" i="27"/>
  <c r="E359" i="27"/>
  <c r="E249" i="27"/>
  <c r="D245" i="27"/>
  <c r="G245" i="27" s="1"/>
  <c r="E368" i="27"/>
  <c r="E352" i="27"/>
  <c r="G364" i="27"/>
  <c r="G356" i="27"/>
  <c r="G246" i="27"/>
  <c r="G365" i="27"/>
  <c r="G230" i="27"/>
  <c r="G248" i="27"/>
  <c r="D254" i="27"/>
  <c r="G250" i="27"/>
  <c r="E229" i="27"/>
  <c r="C228" i="27"/>
  <c r="D228" i="27"/>
  <c r="E230" i="27"/>
  <c r="E256" i="27"/>
  <c r="E184" i="27"/>
  <c r="D247" i="27"/>
  <c r="C247" i="27"/>
  <c r="C152" i="27"/>
  <c r="C151" i="27" s="1"/>
  <c r="U65" i="26"/>
  <c r="G181" i="27"/>
  <c r="U81" i="26"/>
  <c r="U80" i="26" s="1"/>
  <c r="O348" i="26"/>
  <c r="C199" i="27"/>
  <c r="E181" i="27"/>
  <c r="U39" i="26"/>
  <c r="U38" i="26" s="1"/>
  <c r="C213" i="27"/>
  <c r="C170" i="27"/>
  <c r="D56" i="27"/>
  <c r="O362" i="26"/>
  <c r="G184" i="27"/>
  <c r="U139" i="26"/>
  <c r="U138" i="26" s="1"/>
  <c r="D199" i="27"/>
  <c r="C173" i="27"/>
  <c r="G173" i="27" s="1"/>
  <c r="E183" i="27"/>
  <c r="G161" i="27"/>
  <c r="G183" i="27"/>
  <c r="G162" i="27"/>
  <c r="G160" i="27"/>
  <c r="E82" i="27"/>
  <c r="E111" i="27"/>
  <c r="E99" i="27"/>
  <c r="E109" i="27"/>
  <c r="E101" i="27"/>
  <c r="E113" i="27"/>
  <c r="E129" i="27"/>
  <c r="E86" i="27"/>
  <c r="E112" i="27"/>
  <c r="E104" i="27"/>
  <c r="U169" i="26"/>
  <c r="U161" i="26" s="1"/>
  <c r="E108" i="27"/>
  <c r="G87" i="27"/>
  <c r="E106" i="27"/>
  <c r="E98" i="27"/>
  <c r="G62" i="27"/>
  <c r="E89" i="27"/>
  <c r="D65" i="27"/>
  <c r="E102" i="27"/>
  <c r="G89" i="27"/>
  <c r="G86" i="27"/>
  <c r="G45" i="27"/>
  <c r="D58" i="27"/>
  <c r="G61" i="27"/>
  <c r="E62" i="27"/>
  <c r="C58" i="27"/>
  <c r="E61" i="27"/>
  <c r="C47" i="27"/>
  <c r="D44" i="27"/>
  <c r="D47" i="27"/>
  <c r="C44" i="27"/>
  <c r="G31" i="27"/>
  <c r="U360" i="26"/>
  <c r="O197" i="26"/>
  <c r="U112" i="26"/>
  <c r="I230" i="26"/>
  <c r="O187" i="26"/>
  <c r="I187" i="26"/>
  <c r="I227" i="26"/>
  <c r="L100" i="26"/>
  <c r="R100" i="26"/>
  <c r="I101" i="26"/>
  <c r="F100" i="26"/>
  <c r="T334" i="26"/>
  <c r="Q334" i="26"/>
  <c r="P334" i="26"/>
  <c r="R340" i="26"/>
  <c r="D191" i="27" s="1"/>
  <c r="I348" i="26"/>
  <c r="L362" i="26"/>
  <c r="C212" i="27" s="1"/>
  <c r="K334" i="26"/>
  <c r="J334" i="26"/>
  <c r="D163" i="27" l="1"/>
  <c r="O100" i="26"/>
  <c r="G6" i="27"/>
  <c r="G22" i="27"/>
  <c r="E173" i="27"/>
  <c r="C251" i="27"/>
  <c r="E245" i="27"/>
  <c r="G247" i="27"/>
  <c r="E247" i="27"/>
  <c r="E254" i="27"/>
  <c r="G228" i="27"/>
  <c r="E228" i="27"/>
  <c r="I100" i="26"/>
  <c r="C163" i="27"/>
  <c r="L340" i="26"/>
  <c r="C191" i="27" s="1"/>
  <c r="C192" i="27"/>
  <c r="E47" i="27"/>
  <c r="G47" i="27"/>
  <c r="C43" i="27"/>
  <c r="C42" i="27" s="1"/>
  <c r="D43" i="27"/>
  <c r="C100" i="26"/>
  <c r="I362" i="26"/>
  <c r="L360" i="26"/>
  <c r="C210" i="27" s="1"/>
  <c r="Q172" i="26"/>
  <c r="Q169" i="26" s="1"/>
  <c r="Q161" i="26" s="1"/>
  <c r="D148" i="27"/>
  <c r="K169" i="26"/>
  <c r="K161" i="26" s="1"/>
  <c r="C148" i="27"/>
  <c r="E172" i="26"/>
  <c r="F170" i="26"/>
  <c r="L170" i="26"/>
  <c r="L164" i="26"/>
  <c r="I168" i="26"/>
  <c r="C139" i="27" l="1"/>
  <c r="L169" i="26"/>
  <c r="E148" i="27"/>
  <c r="L163" i="26"/>
  <c r="C132" i="27" s="1"/>
  <c r="C133" i="27"/>
  <c r="I360" i="26"/>
  <c r="R153" i="26"/>
  <c r="D110" i="27" s="1"/>
  <c r="R150" i="26"/>
  <c r="D107" i="27" s="1"/>
  <c r="R146" i="26"/>
  <c r="D103" i="27" s="1"/>
  <c r="R143" i="26"/>
  <c r="D100" i="27" s="1"/>
  <c r="R140" i="26"/>
  <c r="D97" i="27" s="1"/>
  <c r="L153" i="26"/>
  <c r="C110" i="27" s="1"/>
  <c r="L150" i="26"/>
  <c r="C107" i="27" s="1"/>
  <c r="L148" i="26"/>
  <c r="C105" i="27" s="1"/>
  <c r="E105" i="27" s="1"/>
  <c r="L146" i="26"/>
  <c r="C103" i="27" s="1"/>
  <c r="L140" i="26"/>
  <c r="C97" i="27" s="1"/>
  <c r="F153" i="26"/>
  <c r="F150" i="26"/>
  <c r="F148" i="26"/>
  <c r="F143" i="26"/>
  <c r="F140" i="26"/>
  <c r="E103" i="27" l="1"/>
  <c r="E107" i="27"/>
  <c r="E110" i="27"/>
  <c r="L161" i="26"/>
  <c r="C138" i="27"/>
  <c r="C130" i="27" s="1"/>
  <c r="E97" i="27"/>
  <c r="R139" i="26"/>
  <c r="R138" i="26" l="1"/>
  <c r="D96" i="27"/>
  <c r="D95" i="27" s="1"/>
  <c r="R119" i="26"/>
  <c r="D182" i="27" s="1"/>
  <c r="R115" i="26"/>
  <c r="D178" i="27" s="1"/>
  <c r="C182" i="27"/>
  <c r="L115" i="26"/>
  <c r="C178" i="27" s="1"/>
  <c r="L113" i="26"/>
  <c r="R113" i="26"/>
  <c r="F115" i="26"/>
  <c r="F119" i="26"/>
  <c r="F113" i="26"/>
  <c r="D176" i="27" l="1"/>
  <c r="R112" i="26"/>
  <c r="C176" i="27"/>
  <c r="C175" i="27" s="1"/>
  <c r="L112" i="26"/>
  <c r="G182" i="27"/>
  <c r="E182" i="27"/>
  <c r="D175" i="27"/>
  <c r="F112" i="26"/>
  <c r="R90" i="26"/>
  <c r="D88" i="27" s="1"/>
  <c r="L90" i="26"/>
  <c r="C88" i="27" s="1"/>
  <c r="E175" i="27" l="1"/>
  <c r="E88" i="27"/>
  <c r="G88" i="27"/>
  <c r="R87" i="26"/>
  <c r="L87" i="26"/>
  <c r="R82" i="26"/>
  <c r="L82" i="26"/>
  <c r="I86" i="26"/>
  <c r="F90" i="26"/>
  <c r="F87" i="26"/>
  <c r="C87" i="26" s="1"/>
  <c r="F82" i="26"/>
  <c r="C82" i="26" s="1"/>
  <c r="D85" i="27" l="1"/>
  <c r="O87" i="26"/>
  <c r="D80" i="27"/>
  <c r="O82" i="26"/>
  <c r="C80" i="27"/>
  <c r="I82" i="26"/>
  <c r="C85" i="27"/>
  <c r="G85" i="27" s="1"/>
  <c r="I87" i="26"/>
  <c r="R81" i="26"/>
  <c r="D79" i="27" s="1"/>
  <c r="D78" i="27" s="1"/>
  <c r="L81" i="26"/>
  <c r="C79" i="27" s="1"/>
  <c r="C78" i="27" s="1"/>
  <c r="F81" i="26"/>
  <c r="F80" i="26" s="1"/>
  <c r="R67" i="26"/>
  <c r="D70" i="27" s="1"/>
  <c r="L67" i="26"/>
  <c r="C70" i="27" s="1"/>
  <c r="E85" i="27" l="1"/>
  <c r="E78" i="27"/>
  <c r="F67" i="26"/>
  <c r="R27" i="26" l="1"/>
  <c r="S58" i="26" l="1"/>
  <c r="S54" i="26" s="1"/>
  <c r="R58" i="26"/>
  <c r="R55" i="26"/>
  <c r="O55" i="26" s="1"/>
  <c r="L55" i="26"/>
  <c r="I55" i="26" s="1"/>
  <c r="M58" i="26"/>
  <c r="M54" i="26" s="1"/>
  <c r="G58" i="26"/>
  <c r="G54" i="26" s="1"/>
  <c r="L58" i="26"/>
  <c r="F58" i="26"/>
  <c r="C58" i="26" s="1"/>
  <c r="F55" i="26"/>
  <c r="C55" i="26" s="1"/>
  <c r="O58" i="26" l="1"/>
  <c r="I58" i="26"/>
  <c r="F54" i="26"/>
  <c r="L54" i="26"/>
  <c r="R54" i="26"/>
  <c r="F369" i="26" l="1"/>
  <c r="F368" i="26" s="1"/>
  <c r="F367" i="26" s="1"/>
  <c r="D369" i="26"/>
  <c r="R76" i="26" l="1"/>
  <c r="D91" i="27" s="1"/>
  <c r="L76" i="26"/>
  <c r="C91" i="27" s="1"/>
  <c r="C363" i="26" l="1"/>
  <c r="C364" i="26"/>
  <c r="C365" i="26"/>
  <c r="C361" i="26"/>
  <c r="D349" i="26"/>
  <c r="E349" i="26"/>
  <c r="E334" i="26" s="1"/>
  <c r="G340" i="26"/>
  <c r="G334" i="26" s="1"/>
  <c r="F345" i="26"/>
  <c r="F362" i="26"/>
  <c r="F360" i="26" s="1"/>
  <c r="F341" i="26"/>
  <c r="F340" i="26" l="1"/>
  <c r="C362" i="26"/>
  <c r="C360" i="26" s="1"/>
  <c r="D334" i="26"/>
  <c r="F351" i="26"/>
  <c r="F337" i="26"/>
  <c r="F335" i="26" s="1"/>
  <c r="D16" i="27" l="1"/>
  <c r="C16" i="27"/>
  <c r="C5" i="27" s="1"/>
  <c r="G16" i="27" l="1"/>
  <c r="G245" i="26" l="1"/>
  <c r="S245" i="26"/>
  <c r="S256" i="26"/>
  <c r="M256" i="26"/>
  <c r="G256" i="26"/>
  <c r="S237" i="26"/>
  <c r="M237" i="26"/>
  <c r="G237" i="26"/>
  <c r="F12" i="26"/>
  <c r="T9" i="26"/>
  <c r="S9" i="26"/>
  <c r="N9" i="26"/>
  <c r="H9" i="26"/>
  <c r="C199" i="26"/>
  <c r="O206" i="26"/>
  <c r="I206" i="26"/>
  <c r="O220" i="26"/>
  <c r="O218" i="26"/>
  <c r="I222" i="26"/>
  <c r="O205" i="26" l="1"/>
  <c r="I205" i="26"/>
  <c r="K200" i="26" l="1"/>
  <c r="F40" i="26" l="1"/>
  <c r="C40" i="26" s="1"/>
  <c r="F39" i="26" l="1"/>
  <c r="F146" i="26"/>
  <c r="F139" i="26" s="1"/>
  <c r="F138" i="26" s="1"/>
  <c r="C39" i="26" l="1"/>
  <c r="F216" i="26"/>
  <c r="E200" i="26"/>
  <c r="F9" i="26"/>
  <c r="R9" i="26" l="1"/>
  <c r="L9" i="26"/>
  <c r="L5" i="26" l="1"/>
  <c r="V9" i="26"/>
  <c r="M9" i="26"/>
  <c r="R369" i="26"/>
  <c r="R368" i="26" s="1"/>
  <c r="R367" i="26" s="1"/>
  <c r="Q369" i="26"/>
  <c r="Q368" i="26" s="1"/>
  <c r="Q367" i="26" s="1"/>
  <c r="P369" i="26"/>
  <c r="P368" i="26" s="1"/>
  <c r="P367" i="26" s="1"/>
  <c r="D368" i="26"/>
  <c r="D367" i="26" s="1"/>
  <c r="Q65" i="26" l="1"/>
  <c r="K65" i="26"/>
  <c r="C141" i="26" l="1"/>
  <c r="D201" i="27" l="1"/>
  <c r="C201" i="27" l="1"/>
  <c r="L354" i="26"/>
  <c r="C204" i="27" s="1"/>
  <c r="L349" i="26" l="1"/>
  <c r="C200" i="27" s="1"/>
  <c r="F57" i="21"/>
  <c r="G50" i="21" s="1"/>
  <c r="U371" i="26" l="1"/>
  <c r="S349" i="26"/>
  <c r="S334" i="26" s="1"/>
  <c r="M350" i="26"/>
  <c r="M349" i="26" s="1"/>
  <c r="N350" i="26"/>
  <c r="N349" i="26" s="1"/>
  <c r="M341" i="26"/>
  <c r="M340" i="26" s="1"/>
  <c r="N341" i="26"/>
  <c r="N340" i="26" s="1"/>
  <c r="O370" i="26"/>
  <c r="C370" i="26"/>
  <c r="H366" i="26"/>
  <c r="E369" i="26"/>
  <c r="E368" i="26" s="1"/>
  <c r="E367" i="26" s="1"/>
  <c r="E366" i="26" s="1"/>
  <c r="T366" i="26"/>
  <c r="S366" i="26"/>
  <c r="Q366" i="26"/>
  <c r="P366" i="26"/>
  <c r="N366" i="26"/>
  <c r="M366" i="26"/>
  <c r="J366" i="26"/>
  <c r="G366" i="26"/>
  <c r="F366" i="26"/>
  <c r="D366" i="26"/>
  <c r="O369" i="26" l="1"/>
  <c r="C369" i="26"/>
  <c r="C368" i="26" s="1"/>
  <c r="C367" i="26" s="1"/>
  <c r="C366" i="26" s="1"/>
  <c r="N334" i="26"/>
  <c r="M334" i="26"/>
  <c r="O368" i="26"/>
  <c r="O367" i="26" l="1"/>
  <c r="O366" i="26" s="1"/>
  <c r="R366" i="26"/>
  <c r="L366" i="26" l="1"/>
  <c r="G371" i="27" l="1"/>
  <c r="G349" i="27"/>
  <c r="E349" i="27"/>
  <c r="G346" i="27"/>
  <c r="E346" i="27"/>
  <c r="G343" i="27"/>
  <c r="G340" i="27"/>
  <c r="G339" i="27"/>
  <c r="E339" i="27"/>
  <c r="G338" i="27"/>
  <c r="G335" i="27"/>
  <c r="E335" i="27"/>
  <c r="G333" i="27"/>
  <c r="E333" i="27"/>
  <c r="G332" i="27"/>
  <c r="E332" i="27"/>
  <c r="G328" i="27"/>
  <c r="E328" i="27"/>
  <c r="G323" i="27"/>
  <c r="E323" i="27"/>
  <c r="G322" i="27"/>
  <c r="E322" i="27"/>
  <c r="G319" i="27"/>
  <c r="E319" i="27"/>
  <c r="G317" i="27"/>
  <c r="E317" i="27"/>
  <c r="G315" i="27"/>
  <c r="E315" i="27"/>
  <c r="G314" i="27"/>
  <c r="E314" i="27"/>
  <c r="G313" i="27"/>
  <c r="E313" i="27"/>
  <c r="G312" i="27"/>
  <c r="E312" i="27"/>
  <c r="G311" i="27"/>
  <c r="E311" i="27"/>
  <c r="G310" i="27"/>
  <c r="E310" i="27"/>
  <c r="G309" i="27"/>
  <c r="E309" i="27"/>
  <c r="G308" i="27"/>
  <c r="E308" i="27"/>
  <c r="G306" i="27"/>
  <c r="E306" i="27"/>
  <c r="G305" i="27"/>
  <c r="E305" i="27"/>
  <c r="G304" i="27"/>
  <c r="E304" i="27"/>
  <c r="G303" i="27"/>
  <c r="E303" i="27"/>
  <c r="G300" i="27"/>
  <c r="E300" i="27"/>
  <c r="G298" i="27"/>
  <c r="E298" i="27"/>
  <c r="G297" i="27"/>
  <c r="E297" i="27"/>
  <c r="G296" i="27"/>
  <c r="E296" i="27"/>
  <c r="G295" i="27"/>
  <c r="E295" i="27"/>
  <c r="G294" i="27"/>
  <c r="E294" i="27"/>
  <c r="G293" i="27"/>
  <c r="E293" i="27"/>
  <c r="G292" i="27"/>
  <c r="E292" i="27"/>
  <c r="G291" i="27"/>
  <c r="G290" i="27"/>
  <c r="E290" i="27"/>
  <c r="G287" i="27"/>
  <c r="E287" i="27"/>
  <c r="G286" i="27"/>
  <c r="E286" i="27"/>
  <c r="G285" i="27"/>
  <c r="E285" i="27"/>
  <c r="E283" i="27"/>
  <c r="G280" i="27"/>
  <c r="E280" i="27"/>
  <c r="G276" i="27"/>
  <c r="E276" i="27"/>
  <c r="D275" i="27"/>
  <c r="D274" i="27" s="1"/>
  <c r="D273" i="27" s="1"/>
  <c r="C275" i="27"/>
  <c r="G271" i="27"/>
  <c r="E271" i="27"/>
  <c r="D270" i="27"/>
  <c r="C270" i="27"/>
  <c r="G269" i="27"/>
  <c r="E269" i="27"/>
  <c r="D268" i="27"/>
  <c r="C268" i="27"/>
  <c r="G266" i="27"/>
  <c r="D265" i="27"/>
  <c r="C265" i="27"/>
  <c r="G264" i="27"/>
  <c r="G263" i="27"/>
  <c r="G262" i="27"/>
  <c r="E262" i="27"/>
  <c r="G261" i="27"/>
  <c r="E261" i="27"/>
  <c r="D260" i="27"/>
  <c r="C260" i="27"/>
  <c r="G259" i="27"/>
  <c r="D258" i="27"/>
  <c r="C258" i="27"/>
  <c r="G41" i="27"/>
  <c r="E41" i="27"/>
  <c r="G40" i="27"/>
  <c r="D39" i="27"/>
  <c r="C39" i="27"/>
  <c r="G37" i="27"/>
  <c r="G36" i="27" s="1"/>
  <c r="E37" i="27"/>
  <c r="G34" i="27"/>
  <c r="G33" i="27"/>
  <c r="G32" i="27"/>
  <c r="E29" i="27"/>
  <c r="E28" i="27"/>
  <c r="E21" i="27"/>
  <c r="E19" i="27"/>
  <c r="D18" i="27"/>
  <c r="E17" i="27"/>
  <c r="G7" i="27"/>
  <c r="E253" i="27"/>
  <c r="E252" i="27"/>
  <c r="D251" i="27"/>
  <c r="G251" i="27" s="1"/>
  <c r="G244" i="27"/>
  <c r="E244" i="27"/>
  <c r="D243" i="27"/>
  <c r="C243" i="27"/>
  <c r="C238" i="27" s="1"/>
  <c r="G242" i="27"/>
  <c r="E242" i="27"/>
  <c r="G241" i="27"/>
  <c r="E241" i="27"/>
  <c r="G240" i="27"/>
  <c r="E240" i="27"/>
  <c r="G239" i="27"/>
  <c r="E239" i="27"/>
  <c r="G237" i="27"/>
  <c r="E237" i="27"/>
  <c r="D236" i="27"/>
  <c r="C236" i="27"/>
  <c r="E235" i="27"/>
  <c r="D234" i="27"/>
  <c r="C234" i="27"/>
  <c r="E232" i="27"/>
  <c r="E220" i="27"/>
  <c r="E227" i="27"/>
  <c r="D224" i="27"/>
  <c r="C224" i="27"/>
  <c r="E223" i="27"/>
  <c r="E219" i="27"/>
  <c r="D218" i="27"/>
  <c r="C217" i="27"/>
  <c r="G215" i="27"/>
  <c r="E215" i="27"/>
  <c r="G214" i="27"/>
  <c r="G213" i="27"/>
  <c r="G212" i="27"/>
  <c r="G211" i="27"/>
  <c r="G210" i="27"/>
  <c r="E210" i="27"/>
  <c r="G209" i="27"/>
  <c r="G208" i="27"/>
  <c r="G207" i="27"/>
  <c r="E207" i="27"/>
  <c r="G206" i="27"/>
  <c r="G203" i="27"/>
  <c r="E203" i="27"/>
  <c r="G202" i="27"/>
  <c r="E202" i="27"/>
  <c r="G201" i="27"/>
  <c r="E201" i="27"/>
  <c r="G198" i="27"/>
  <c r="E198" i="27"/>
  <c r="G197" i="27"/>
  <c r="G195" i="27"/>
  <c r="E195" i="27"/>
  <c r="G194" i="27"/>
  <c r="E194" i="27"/>
  <c r="G193" i="27"/>
  <c r="E193" i="27"/>
  <c r="G191" i="27"/>
  <c r="E191" i="27"/>
  <c r="G190" i="27"/>
  <c r="E190" i="27"/>
  <c r="G189" i="27"/>
  <c r="E189" i="27"/>
  <c r="G187" i="27"/>
  <c r="E187" i="27"/>
  <c r="G180" i="27"/>
  <c r="G179" i="27"/>
  <c r="G178" i="27"/>
  <c r="E178" i="27"/>
  <c r="G177" i="27"/>
  <c r="E177" i="27"/>
  <c r="G170" i="27"/>
  <c r="E170" i="27"/>
  <c r="G169" i="27"/>
  <c r="E169" i="27"/>
  <c r="G168" i="27"/>
  <c r="E168" i="27"/>
  <c r="G167" i="27"/>
  <c r="E167" i="27"/>
  <c r="G166" i="27"/>
  <c r="E166" i="27"/>
  <c r="G165" i="27"/>
  <c r="E165" i="27"/>
  <c r="G164" i="27"/>
  <c r="E164" i="27"/>
  <c r="G163" i="27"/>
  <c r="E163" i="27"/>
  <c r="E162" i="27"/>
  <c r="E160" i="27"/>
  <c r="G159" i="27"/>
  <c r="E159" i="27"/>
  <c r="G158" i="27"/>
  <c r="E158" i="27"/>
  <c r="G154" i="27"/>
  <c r="G153" i="27"/>
  <c r="G150" i="27"/>
  <c r="G149" i="27"/>
  <c r="E149" i="27"/>
  <c r="G148" i="27"/>
  <c r="G140" i="27"/>
  <c r="E140" i="27"/>
  <c r="G137" i="27"/>
  <c r="G136" i="27"/>
  <c r="G135" i="27"/>
  <c r="G131" i="27"/>
  <c r="E131" i="27"/>
  <c r="G128" i="27"/>
  <c r="G126" i="27"/>
  <c r="E126" i="27"/>
  <c r="G125" i="27"/>
  <c r="E125" i="27"/>
  <c r="G124" i="27"/>
  <c r="G120" i="27"/>
  <c r="E120" i="27"/>
  <c r="G119" i="27"/>
  <c r="E119" i="27"/>
  <c r="E116" i="27"/>
  <c r="G113" i="27"/>
  <c r="G112" i="27"/>
  <c r="G111" i="27"/>
  <c r="G110" i="27"/>
  <c r="G109" i="27"/>
  <c r="G107" i="27"/>
  <c r="G106" i="27"/>
  <c r="G105" i="27"/>
  <c r="G104" i="27"/>
  <c r="G101" i="27"/>
  <c r="G99" i="27"/>
  <c r="G98" i="27"/>
  <c r="G97" i="27"/>
  <c r="G94" i="27"/>
  <c r="E94" i="27"/>
  <c r="G92" i="27"/>
  <c r="E92" i="27"/>
  <c r="G91" i="27"/>
  <c r="E91" i="27"/>
  <c r="G84" i="27"/>
  <c r="E84" i="27"/>
  <c r="G83" i="27"/>
  <c r="E83" i="27"/>
  <c r="G81" i="27"/>
  <c r="E81" i="27"/>
  <c r="G80" i="27"/>
  <c r="E80" i="27"/>
  <c r="G77" i="27"/>
  <c r="E77" i="27"/>
  <c r="G74" i="27"/>
  <c r="E74" i="27"/>
  <c r="G73" i="27"/>
  <c r="E73" i="27"/>
  <c r="G72" i="27"/>
  <c r="G69" i="27"/>
  <c r="E69" i="27"/>
  <c r="G67" i="27"/>
  <c r="E67" i="27"/>
  <c r="G66" i="27"/>
  <c r="C65" i="27"/>
  <c r="G65" i="27" s="1"/>
  <c r="G64" i="27"/>
  <c r="E64" i="27"/>
  <c r="D63" i="27"/>
  <c r="C63" i="27"/>
  <c r="G60" i="27"/>
  <c r="E60" i="27"/>
  <c r="G59" i="27"/>
  <c r="E59" i="27"/>
  <c r="G57" i="27"/>
  <c r="E57" i="27"/>
  <c r="G56" i="27"/>
  <c r="E56" i="27"/>
  <c r="D55" i="27"/>
  <c r="C55" i="27"/>
  <c r="G53" i="27"/>
  <c r="E53" i="27"/>
  <c r="G52" i="27"/>
  <c r="E52" i="27"/>
  <c r="G51" i="27"/>
  <c r="E51" i="27"/>
  <c r="D50" i="27"/>
  <c r="G46" i="27"/>
  <c r="E46" i="27"/>
  <c r="G49" i="27"/>
  <c r="E49" i="27"/>
  <c r="E45" i="27"/>
  <c r="G48" i="27"/>
  <c r="E48" i="27"/>
  <c r="I361" i="26"/>
  <c r="O358" i="26"/>
  <c r="I358" i="26"/>
  <c r="C358" i="26"/>
  <c r="O357" i="26"/>
  <c r="I357" i="26"/>
  <c r="C357" i="26"/>
  <c r="O356" i="26"/>
  <c r="I356" i="26"/>
  <c r="C356" i="26"/>
  <c r="O355" i="26"/>
  <c r="I355" i="26"/>
  <c r="C355" i="26"/>
  <c r="R354" i="26"/>
  <c r="D204" i="27" s="1"/>
  <c r="I354" i="26"/>
  <c r="U354" i="26" s="1"/>
  <c r="U349" i="26" s="1"/>
  <c r="F354" i="26"/>
  <c r="C354" i="26" s="1"/>
  <c r="O351" i="26"/>
  <c r="I351" i="26"/>
  <c r="F350" i="26"/>
  <c r="O350" i="26"/>
  <c r="I350" i="26"/>
  <c r="H350" i="26"/>
  <c r="H349" i="26" s="1"/>
  <c r="O347" i="26"/>
  <c r="I347" i="26"/>
  <c r="C347" i="26"/>
  <c r="O346" i="26"/>
  <c r="I346" i="26"/>
  <c r="C346" i="26"/>
  <c r="I345" i="26"/>
  <c r="O344" i="26"/>
  <c r="I344" i="26"/>
  <c r="U344" i="26" s="1"/>
  <c r="U340" i="26" s="1"/>
  <c r="C344" i="26"/>
  <c r="O343" i="26"/>
  <c r="I343" i="26"/>
  <c r="C343" i="26"/>
  <c r="O342" i="26"/>
  <c r="I342" i="26"/>
  <c r="C342" i="26"/>
  <c r="O341" i="26"/>
  <c r="I341" i="26"/>
  <c r="H341" i="26"/>
  <c r="H340" i="26" s="1"/>
  <c r="O339" i="26"/>
  <c r="I339" i="26"/>
  <c r="C339" i="26"/>
  <c r="O338" i="26"/>
  <c r="I338" i="26"/>
  <c r="C338" i="26"/>
  <c r="R337" i="26"/>
  <c r="D188" i="27" s="1"/>
  <c r="L337" i="26"/>
  <c r="C188" i="27" s="1"/>
  <c r="C337" i="26"/>
  <c r="O336" i="26"/>
  <c r="I336" i="26"/>
  <c r="O333" i="26"/>
  <c r="I333" i="26"/>
  <c r="C333" i="26"/>
  <c r="O332" i="26"/>
  <c r="I332" i="26"/>
  <c r="C332" i="26"/>
  <c r="O330" i="26"/>
  <c r="I330" i="26"/>
  <c r="C330" i="26"/>
  <c r="T329" i="26"/>
  <c r="N329" i="26"/>
  <c r="L329" i="26"/>
  <c r="C367" i="27" s="1"/>
  <c r="K329" i="26"/>
  <c r="J329" i="26"/>
  <c r="H329" i="26"/>
  <c r="F329" i="26"/>
  <c r="E329" i="26"/>
  <c r="D329" i="26"/>
  <c r="O328" i="26"/>
  <c r="I328" i="26"/>
  <c r="C328" i="26"/>
  <c r="O326" i="26"/>
  <c r="I326" i="26"/>
  <c r="C326" i="26"/>
  <c r="O325" i="26"/>
  <c r="I325" i="26"/>
  <c r="C325" i="26"/>
  <c r="O324" i="26"/>
  <c r="I324" i="26"/>
  <c r="C324" i="26"/>
  <c r="O323" i="26"/>
  <c r="I323" i="26"/>
  <c r="C323" i="26"/>
  <c r="T322" i="26"/>
  <c r="R322" i="26"/>
  <c r="D360" i="27" s="1"/>
  <c r="Q322" i="26"/>
  <c r="P322" i="26"/>
  <c r="N322" i="26"/>
  <c r="L322" i="26"/>
  <c r="C360" i="27" s="1"/>
  <c r="K322" i="26"/>
  <c r="J322" i="26"/>
  <c r="H322" i="26"/>
  <c r="F322" i="26"/>
  <c r="E322" i="26"/>
  <c r="D322" i="26"/>
  <c r="O321" i="26"/>
  <c r="I321" i="26"/>
  <c r="C321" i="26"/>
  <c r="O320" i="26"/>
  <c r="I320" i="26"/>
  <c r="C320" i="26"/>
  <c r="T319" i="26"/>
  <c r="R319" i="26"/>
  <c r="D357" i="27" s="1"/>
  <c r="Q319" i="26"/>
  <c r="P319" i="26"/>
  <c r="N319" i="26"/>
  <c r="K319" i="26"/>
  <c r="J319" i="26"/>
  <c r="H319" i="26"/>
  <c r="F319" i="26"/>
  <c r="E319" i="26"/>
  <c r="D319" i="26"/>
  <c r="O317" i="26"/>
  <c r="I317" i="26"/>
  <c r="C317" i="26"/>
  <c r="O316" i="26"/>
  <c r="I316" i="26"/>
  <c r="C316" i="26"/>
  <c r="O315" i="26"/>
  <c r="I315" i="26"/>
  <c r="C315" i="26"/>
  <c r="T314" i="26"/>
  <c r="Q314" i="26"/>
  <c r="P314" i="26"/>
  <c r="N314" i="26"/>
  <c r="K314" i="26"/>
  <c r="J314" i="26"/>
  <c r="H314" i="26"/>
  <c r="E314" i="26"/>
  <c r="D314" i="26"/>
  <c r="O311" i="26"/>
  <c r="I311" i="26"/>
  <c r="C311" i="26"/>
  <c r="T310" i="26"/>
  <c r="R310" i="26"/>
  <c r="D348" i="27" s="1"/>
  <c r="Q310" i="26"/>
  <c r="P310" i="26"/>
  <c r="N310" i="26"/>
  <c r="L310" i="26"/>
  <c r="C348" i="27" s="1"/>
  <c r="K310" i="26"/>
  <c r="J310" i="26"/>
  <c r="H310" i="26"/>
  <c r="F310" i="26"/>
  <c r="E310" i="26"/>
  <c r="D310" i="26"/>
  <c r="O309" i="26"/>
  <c r="I309" i="26"/>
  <c r="C309" i="26"/>
  <c r="O308" i="26"/>
  <c r="C308" i="26"/>
  <c r="T307" i="26"/>
  <c r="Q307" i="26"/>
  <c r="P307" i="26"/>
  <c r="N307" i="26"/>
  <c r="K307" i="26"/>
  <c r="J307" i="26"/>
  <c r="H307" i="26"/>
  <c r="F307" i="26"/>
  <c r="E307" i="26"/>
  <c r="D307" i="26"/>
  <c r="O305" i="26"/>
  <c r="I305" i="26"/>
  <c r="C305" i="26"/>
  <c r="T304" i="26"/>
  <c r="R304" i="26"/>
  <c r="D342" i="27" s="1"/>
  <c r="P304" i="26"/>
  <c r="N304" i="26"/>
  <c r="L304" i="26"/>
  <c r="C342" i="27" s="1"/>
  <c r="J304" i="26"/>
  <c r="H304" i="26"/>
  <c r="F304" i="26"/>
  <c r="D304" i="26"/>
  <c r="O303" i="26"/>
  <c r="I303" i="26"/>
  <c r="C303" i="26"/>
  <c r="O302" i="26"/>
  <c r="I302" i="26"/>
  <c r="C302" i="26"/>
  <c r="O301" i="26"/>
  <c r="I301" i="26"/>
  <c r="C301" i="26"/>
  <c r="O300" i="26"/>
  <c r="I300" i="26"/>
  <c r="C300" i="26"/>
  <c r="T299" i="26"/>
  <c r="R299" i="26"/>
  <c r="D337" i="27" s="1"/>
  <c r="Q299" i="26"/>
  <c r="P299" i="26"/>
  <c r="N299" i="26"/>
  <c r="L299" i="26"/>
  <c r="C337" i="27" s="1"/>
  <c r="K299" i="26"/>
  <c r="J299" i="26"/>
  <c r="H299" i="26"/>
  <c r="F299" i="26"/>
  <c r="E299" i="26"/>
  <c r="D299" i="26"/>
  <c r="D298" i="26" s="1"/>
  <c r="O297" i="26"/>
  <c r="I297" i="26"/>
  <c r="C297" i="26"/>
  <c r="O296" i="26"/>
  <c r="I296" i="26"/>
  <c r="C296" i="26"/>
  <c r="O295" i="26"/>
  <c r="I295" i="26"/>
  <c r="C295" i="26"/>
  <c r="O294" i="26"/>
  <c r="I294" i="26"/>
  <c r="C294" i="26"/>
  <c r="O293" i="26"/>
  <c r="I293" i="26"/>
  <c r="C293" i="26"/>
  <c r="O292" i="26"/>
  <c r="I292" i="26"/>
  <c r="C292" i="26"/>
  <c r="O291" i="26"/>
  <c r="I291" i="26"/>
  <c r="C291" i="26"/>
  <c r="O290" i="26"/>
  <c r="I290" i="26"/>
  <c r="C290" i="26"/>
  <c r="O289" i="26"/>
  <c r="I289" i="26"/>
  <c r="C289" i="26"/>
  <c r="O288" i="26"/>
  <c r="I288" i="26"/>
  <c r="C288" i="26"/>
  <c r="T287" i="26"/>
  <c r="R287" i="26"/>
  <c r="D325" i="27" s="1"/>
  <c r="Q287" i="26"/>
  <c r="P287" i="26"/>
  <c r="N287" i="26"/>
  <c r="L287" i="26"/>
  <c r="C325" i="27" s="1"/>
  <c r="K287" i="26"/>
  <c r="J287" i="26"/>
  <c r="H287" i="26"/>
  <c r="F287" i="26"/>
  <c r="E287" i="26"/>
  <c r="D287" i="26"/>
  <c r="O285" i="26"/>
  <c r="I285" i="26"/>
  <c r="C285" i="26"/>
  <c r="O284" i="26"/>
  <c r="I284" i="26"/>
  <c r="C284" i="26"/>
  <c r="O283" i="26"/>
  <c r="I283" i="26"/>
  <c r="C283" i="26"/>
  <c r="O282" i="26"/>
  <c r="I282" i="26"/>
  <c r="C282" i="26"/>
  <c r="T281" i="26"/>
  <c r="T280" i="26" s="1"/>
  <c r="Q281" i="26"/>
  <c r="P281" i="26"/>
  <c r="N281" i="26"/>
  <c r="K281" i="26"/>
  <c r="J281" i="26"/>
  <c r="H281" i="26"/>
  <c r="F281" i="26"/>
  <c r="E281" i="26"/>
  <c r="D281" i="26"/>
  <c r="O279" i="26"/>
  <c r="I279" i="26"/>
  <c r="C279" i="26"/>
  <c r="T278" i="26"/>
  <c r="R278" i="26"/>
  <c r="D316" i="27" s="1"/>
  <c r="Q278" i="26"/>
  <c r="P278" i="26"/>
  <c r="N278" i="26"/>
  <c r="L278" i="26"/>
  <c r="C316" i="27" s="1"/>
  <c r="K278" i="26"/>
  <c r="J278" i="26"/>
  <c r="H278" i="26"/>
  <c r="F278" i="26"/>
  <c r="F244" i="26" s="1"/>
  <c r="E278" i="26"/>
  <c r="D278" i="26"/>
  <c r="O276" i="26"/>
  <c r="I276" i="26"/>
  <c r="C276" i="26"/>
  <c r="O275" i="26"/>
  <c r="I275" i="26"/>
  <c r="C275" i="26"/>
  <c r="O274" i="26"/>
  <c r="I274" i="26"/>
  <c r="C274" i="26"/>
  <c r="O273" i="26"/>
  <c r="I273" i="26"/>
  <c r="C273" i="26"/>
  <c r="O272" i="26"/>
  <c r="I272" i="26"/>
  <c r="C272" i="26"/>
  <c r="O271" i="26"/>
  <c r="I271" i="26"/>
  <c r="C271" i="26"/>
  <c r="O270" i="26"/>
  <c r="I270" i="26"/>
  <c r="C270" i="26"/>
  <c r="O269" i="26"/>
  <c r="I269" i="26"/>
  <c r="C269" i="26"/>
  <c r="O261" i="26"/>
  <c r="I261" i="26"/>
  <c r="C261" i="26"/>
  <c r="O260" i="26"/>
  <c r="I260" i="26"/>
  <c r="C260" i="26"/>
  <c r="O259" i="26"/>
  <c r="I259" i="26"/>
  <c r="C259" i="26"/>
  <c r="O258" i="26"/>
  <c r="I258" i="26"/>
  <c r="C258" i="26"/>
  <c r="O257" i="26"/>
  <c r="I257" i="26"/>
  <c r="T256" i="26"/>
  <c r="Q256" i="26"/>
  <c r="P256" i="26"/>
  <c r="N256" i="26"/>
  <c r="K256" i="26"/>
  <c r="J256" i="26"/>
  <c r="H256" i="26"/>
  <c r="E256" i="26"/>
  <c r="D256" i="26"/>
  <c r="O254" i="26"/>
  <c r="I254" i="26"/>
  <c r="C254" i="26"/>
  <c r="O253" i="26"/>
  <c r="I253" i="26"/>
  <c r="C253" i="26"/>
  <c r="O250" i="26"/>
  <c r="I250" i="26"/>
  <c r="C250" i="26"/>
  <c r="O249" i="26"/>
  <c r="I249" i="26"/>
  <c r="C249" i="26"/>
  <c r="O248" i="26"/>
  <c r="I248" i="26"/>
  <c r="C248" i="26"/>
  <c r="O247" i="26"/>
  <c r="I247" i="26"/>
  <c r="C247" i="26"/>
  <c r="O246" i="26"/>
  <c r="I246" i="26"/>
  <c r="C246" i="26"/>
  <c r="T245" i="26"/>
  <c r="P245" i="26"/>
  <c r="N245" i="26"/>
  <c r="J245" i="26"/>
  <c r="H245" i="26"/>
  <c r="E245" i="26"/>
  <c r="D245" i="26"/>
  <c r="O243" i="26"/>
  <c r="I243" i="26"/>
  <c r="C243" i="26"/>
  <c r="O242" i="26"/>
  <c r="I242" i="26"/>
  <c r="C242" i="26"/>
  <c r="O239" i="26"/>
  <c r="I239" i="26"/>
  <c r="C239" i="26"/>
  <c r="T238" i="26"/>
  <c r="Q238" i="26"/>
  <c r="P238" i="26"/>
  <c r="N238" i="26"/>
  <c r="K238" i="26"/>
  <c r="J238" i="26"/>
  <c r="H238" i="26"/>
  <c r="F238" i="26"/>
  <c r="E238" i="26"/>
  <c r="D238" i="26"/>
  <c r="C220" i="26"/>
  <c r="N219" i="26"/>
  <c r="M219" i="26"/>
  <c r="M215" i="26" s="1"/>
  <c r="L219" i="26"/>
  <c r="L215" i="26" s="1"/>
  <c r="K219" i="26"/>
  <c r="K215" i="26" s="1"/>
  <c r="J219" i="26"/>
  <c r="H219" i="26"/>
  <c r="G219" i="26"/>
  <c r="F219" i="26"/>
  <c r="E219" i="26"/>
  <c r="D219" i="26"/>
  <c r="C218" i="26"/>
  <c r="T216" i="26"/>
  <c r="T215" i="26" s="1"/>
  <c r="S216" i="26"/>
  <c r="S215" i="26" s="1"/>
  <c r="R216" i="26"/>
  <c r="R215" i="26" s="1"/>
  <c r="Q215" i="26"/>
  <c r="P216" i="26"/>
  <c r="P215" i="26" s="1"/>
  <c r="H216" i="26"/>
  <c r="G216" i="26"/>
  <c r="D216" i="26"/>
  <c r="O214" i="26"/>
  <c r="I214" i="26"/>
  <c r="C214" i="26"/>
  <c r="T213" i="26"/>
  <c r="S213" i="26"/>
  <c r="R213" i="26"/>
  <c r="Q213" i="26"/>
  <c r="P213" i="26"/>
  <c r="N213" i="26"/>
  <c r="M213" i="26"/>
  <c r="L213" i="26"/>
  <c r="K213" i="26"/>
  <c r="J213" i="26"/>
  <c r="H213" i="26"/>
  <c r="G213" i="26"/>
  <c r="F213" i="26"/>
  <c r="E213" i="26"/>
  <c r="D213" i="26"/>
  <c r="O212" i="26"/>
  <c r="I212" i="26"/>
  <c r="C212" i="26"/>
  <c r="T211" i="26"/>
  <c r="S211" i="26"/>
  <c r="R211" i="26"/>
  <c r="Q211" i="26"/>
  <c r="P211" i="26"/>
  <c r="N211" i="26"/>
  <c r="M211" i="26"/>
  <c r="L211" i="26"/>
  <c r="K211" i="26"/>
  <c r="J211" i="26"/>
  <c r="H211" i="26"/>
  <c r="G211" i="26"/>
  <c r="F211" i="26"/>
  <c r="E211" i="26"/>
  <c r="D211" i="26"/>
  <c r="O191" i="26"/>
  <c r="I191" i="26"/>
  <c r="C191" i="26"/>
  <c r="I204" i="26"/>
  <c r="C204" i="26"/>
  <c r="I203" i="26"/>
  <c r="C203" i="26"/>
  <c r="O202" i="26"/>
  <c r="I202" i="26"/>
  <c r="C202" i="26"/>
  <c r="O201" i="26"/>
  <c r="J201" i="26"/>
  <c r="I201" i="26" s="1"/>
  <c r="C201" i="26"/>
  <c r="N200" i="26"/>
  <c r="M200" i="26"/>
  <c r="L200" i="26"/>
  <c r="H200" i="26"/>
  <c r="G200" i="26"/>
  <c r="F200" i="26"/>
  <c r="D200" i="26"/>
  <c r="O199" i="26"/>
  <c r="I199" i="26"/>
  <c r="O198" i="26"/>
  <c r="I198" i="26"/>
  <c r="C198" i="26"/>
  <c r="O207" i="26"/>
  <c r="I207" i="26"/>
  <c r="C207" i="26"/>
  <c r="O195" i="26"/>
  <c r="I195" i="26"/>
  <c r="C195" i="26"/>
  <c r="O193" i="26"/>
  <c r="I193" i="26"/>
  <c r="O190" i="26"/>
  <c r="I190" i="26"/>
  <c r="C190" i="26"/>
  <c r="O189" i="26"/>
  <c r="I189" i="26"/>
  <c r="C189" i="26"/>
  <c r="H188" i="26"/>
  <c r="H187" i="26" s="1"/>
  <c r="G188" i="26"/>
  <c r="G187" i="26" s="1"/>
  <c r="D188" i="26"/>
  <c r="D187" i="26" s="1"/>
  <c r="O185" i="26"/>
  <c r="I185" i="26"/>
  <c r="C185" i="26"/>
  <c r="O184" i="26"/>
  <c r="I184" i="26"/>
  <c r="C184" i="26"/>
  <c r="O183" i="26"/>
  <c r="I183" i="26"/>
  <c r="C183" i="26"/>
  <c r="O182" i="26"/>
  <c r="I182" i="26"/>
  <c r="C182" i="26"/>
  <c r="P180" i="26"/>
  <c r="D180" i="26"/>
  <c r="S180" i="26"/>
  <c r="R180" i="26"/>
  <c r="N180" i="26"/>
  <c r="M180" i="26"/>
  <c r="L180" i="26"/>
  <c r="H180" i="26"/>
  <c r="G180" i="26"/>
  <c r="F180" i="26"/>
  <c r="O179" i="26"/>
  <c r="I179" i="26"/>
  <c r="C179" i="26"/>
  <c r="R178" i="26"/>
  <c r="O178" i="26" s="1"/>
  <c r="L178" i="26"/>
  <c r="I178" i="26" s="1"/>
  <c r="F178" i="26"/>
  <c r="C178" i="26" s="1"/>
  <c r="O177" i="26"/>
  <c r="I177" i="26"/>
  <c r="C177" i="26"/>
  <c r="R176" i="26"/>
  <c r="O176" i="26" s="1"/>
  <c r="L176" i="26"/>
  <c r="I176" i="26" s="1"/>
  <c r="F176" i="26"/>
  <c r="C176" i="26" s="1"/>
  <c r="O173" i="26"/>
  <c r="I173" i="26"/>
  <c r="C173" i="26"/>
  <c r="O172" i="26"/>
  <c r="I172" i="26"/>
  <c r="F172" i="26"/>
  <c r="C172" i="26" s="1"/>
  <c r="O171" i="26"/>
  <c r="I171" i="26"/>
  <c r="C171" i="26"/>
  <c r="R170" i="26"/>
  <c r="R169" i="26" s="1"/>
  <c r="I170" i="26"/>
  <c r="C170" i="26"/>
  <c r="O167" i="26"/>
  <c r="I167" i="26"/>
  <c r="C167" i="26"/>
  <c r="O166" i="26"/>
  <c r="I166" i="26"/>
  <c r="C166" i="26"/>
  <c r="O165" i="26"/>
  <c r="I165" i="26"/>
  <c r="C165" i="26"/>
  <c r="D133" i="27"/>
  <c r="I164" i="26"/>
  <c r="F164" i="26"/>
  <c r="I163" i="26"/>
  <c r="O162" i="26"/>
  <c r="I162" i="26"/>
  <c r="C162" i="26"/>
  <c r="O160" i="26"/>
  <c r="I160" i="26"/>
  <c r="C160" i="26"/>
  <c r="O159" i="26"/>
  <c r="I159" i="26"/>
  <c r="C159" i="26"/>
  <c r="O158" i="26"/>
  <c r="I158" i="26"/>
  <c r="C158" i="26"/>
  <c r="O153" i="26"/>
  <c r="I153" i="26"/>
  <c r="C153" i="26"/>
  <c r="O152" i="26"/>
  <c r="I152" i="26"/>
  <c r="C152" i="26"/>
  <c r="O151" i="26"/>
  <c r="I151" i="26"/>
  <c r="C151" i="26"/>
  <c r="O147" i="26"/>
  <c r="I147" i="26"/>
  <c r="C147" i="26"/>
  <c r="O146" i="26"/>
  <c r="I146" i="26"/>
  <c r="C146" i="26"/>
  <c r="O145" i="26"/>
  <c r="I145" i="26"/>
  <c r="C145" i="26"/>
  <c r="O144" i="26"/>
  <c r="I144" i="26"/>
  <c r="C144" i="26"/>
  <c r="O143" i="26"/>
  <c r="L143" i="26"/>
  <c r="C100" i="27" s="1"/>
  <c r="E100" i="27" s="1"/>
  <c r="O142" i="26"/>
  <c r="I142" i="26"/>
  <c r="C142" i="26"/>
  <c r="O140" i="26"/>
  <c r="O149" i="26"/>
  <c r="I149" i="26"/>
  <c r="C149" i="26"/>
  <c r="O148" i="26"/>
  <c r="I148" i="26"/>
  <c r="C148" i="26"/>
  <c r="O137" i="26"/>
  <c r="I137" i="26"/>
  <c r="C137" i="26"/>
  <c r="O136" i="26"/>
  <c r="C136" i="26"/>
  <c r="F135" i="26"/>
  <c r="C135" i="26" s="1"/>
  <c r="O134" i="26"/>
  <c r="I134" i="26"/>
  <c r="C134" i="26"/>
  <c r="O133" i="26"/>
  <c r="I133" i="26"/>
  <c r="F133" i="26"/>
  <c r="C133" i="26" s="1"/>
  <c r="O132" i="26"/>
  <c r="I132" i="26"/>
  <c r="C132" i="26"/>
  <c r="O131" i="26"/>
  <c r="I131" i="26"/>
  <c r="C131" i="26"/>
  <c r="O130" i="26"/>
  <c r="I130" i="26"/>
  <c r="C130" i="26"/>
  <c r="F129" i="26"/>
  <c r="C129" i="26" s="1"/>
  <c r="O128" i="26"/>
  <c r="I128" i="26"/>
  <c r="C128" i="26"/>
  <c r="O127" i="26"/>
  <c r="I127" i="26"/>
  <c r="C127" i="26"/>
  <c r="R126" i="26"/>
  <c r="L126" i="26"/>
  <c r="F126" i="26"/>
  <c r="C126" i="26" s="1"/>
  <c r="O125" i="26"/>
  <c r="I125" i="26"/>
  <c r="C125" i="26"/>
  <c r="O124" i="26"/>
  <c r="I124" i="26"/>
  <c r="C124" i="26"/>
  <c r="R123" i="26"/>
  <c r="O119" i="26"/>
  <c r="I119" i="26"/>
  <c r="O117" i="26"/>
  <c r="I117" i="26"/>
  <c r="O116" i="26"/>
  <c r="I116" i="26"/>
  <c r="O114" i="26"/>
  <c r="I114" i="26"/>
  <c r="C113" i="26"/>
  <c r="O98" i="26"/>
  <c r="C98" i="26"/>
  <c r="O109" i="26"/>
  <c r="I109" i="26"/>
  <c r="C109" i="26"/>
  <c r="O97" i="26"/>
  <c r="C97" i="26"/>
  <c r="O108" i="26"/>
  <c r="I108" i="26"/>
  <c r="C108" i="26"/>
  <c r="O106" i="26"/>
  <c r="I106" i="26"/>
  <c r="C106" i="26"/>
  <c r="O105" i="26"/>
  <c r="I105" i="26"/>
  <c r="C105" i="26"/>
  <c r="O104" i="26"/>
  <c r="I104" i="26"/>
  <c r="C104" i="26"/>
  <c r="O103" i="26"/>
  <c r="I103" i="26"/>
  <c r="C103" i="26"/>
  <c r="O95" i="26"/>
  <c r="I95" i="26"/>
  <c r="C95" i="26"/>
  <c r="O99" i="26"/>
  <c r="C99" i="26"/>
  <c r="O94" i="26"/>
  <c r="I94" i="26"/>
  <c r="C94" i="26"/>
  <c r="R93" i="26"/>
  <c r="L93" i="26"/>
  <c r="C156" i="27" s="1"/>
  <c r="C155" i="27" s="1"/>
  <c r="F93" i="26"/>
  <c r="O91" i="26"/>
  <c r="I91" i="26"/>
  <c r="C91" i="26"/>
  <c r="O88" i="26"/>
  <c r="I88" i="26"/>
  <c r="C88" i="26"/>
  <c r="I85" i="26"/>
  <c r="I84" i="26"/>
  <c r="O89" i="26"/>
  <c r="I89" i="26"/>
  <c r="C89" i="26"/>
  <c r="I83" i="26"/>
  <c r="O79" i="26"/>
  <c r="I79" i="26"/>
  <c r="C79" i="26"/>
  <c r="R78" i="26"/>
  <c r="L78" i="26"/>
  <c r="F78" i="26"/>
  <c r="C78" i="26" s="1"/>
  <c r="O77" i="26"/>
  <c r="I77" i="26"/>
  <c r="C77" i="26"/>
  <c r="Q76" i="26"/>
  <c r="O76" i="26" s="1"/>
  <c r="K76" i="26"/>
  <c r="I76" i="26" s="1"/>
  <c r="F76" i="26"/>
  <c r="C76" i="26" s="1"/>
  <c r="O72" i="26"/>
  <c r="I72" i="26"/>
  <c r="C72" i="26"/>
  <c r="O71" i="26"/>
  <c r="I71" i="26"/>
  <c r="C71" i="26"/>
  <c r="O70" i="26"/>
  <c r="I70" i="26"/>
  <c r="C70" i="26"/>
  <c r="O68" i="26"/>
  <c r="I68" i="26"/>
  <c r="C68" i="26"/>
  <c r="O67" i="26"/>
  <c r="O66" i="26"/>
  <c r="I66" i="26"/>
  <c r="C66" i="26"/>
  <c r="R61" i="26"/>
  <c r="O61" i="26" s="1"/>
  <c r="L61" i="26"/>
  <c r="I61" i="26" s="1"/>
  <c r="F61" i="26"/>
  <c r="C61" i="26" s="1"/>
  <c r="S53" i="26"/>
  <c r="M53" i="26"/>
  <c r="G53" i="26"/>
  <c r="O47" i="26"/>
  <c r="O52" i="26"/>
  <c r="O51" i="26"/>
  <c r="O50" i="26"/>
  <c r="L50" i="26"/>
  <c r="I50" i="26" s="1"/>
  <c r="F50" i="26"/>
  <c r="C50" i="26" s="1"/>
  <c r="O49" i="26"/>
  <c r="R48" i="26"/>
  <c r="O48" i="26" s="1"/>
  <c r="L48" i="26"/>
  <c r="I48" i="26" s="1"/>
  <c r="F48" i="26"/>
  <c r="C48" i="26" s="1"/>
  <c r="O46" i="26"/>
  <c r="O45" i="26"/>
  <c r="O44" i="26"/>
  <c r="O42" i="26"/>
  <c r="O41" i="26"/>
  <c r="L40" i="26"/>
  <c r="O37" i="26"/>
  <c r="I37" i="26"/>
  <c r="C37" i="26"/>
  <c r="T36" i="26"/>
  <c r="S36" i="26"/>
  <c r="Q36" i="26"/>
  <c r="P36" i="26"/>
  <c r="N36" i="26"/>
  <c r="M36" i="26"/>
  <c r="L36" i="26"/>
  <c r="K36" i="26"/>
  <c r="J36" i="26"/>
  <c r="H36" i="26"/>
  <c r="G36" i="26"/>
  <c r="F36" i="26"/>
  <c r="E36" i="26"/>
  <c r="D36" i="26"/>
  <c r="O34" i="26"/>
  <c r="I34" i="26"/>
  <c r="C34" i="26"/>
  <c r="O33" i="26"/>
  <c r="I33" i="26"/>
  <c r="C33" i="26"/>
  <c r="O32" i="26"/>
  <c r="I32" i="26"/>
  <c r="C32" i="26"/>
  <c r="O31" i="26"/>
  <c r="I31" i="26"/>
  <c r="C31" i="26"/>
  <c r="O30" i="26"/>
  <c r="N30" i="26"/>
  <c r="M30" i="26"/>
  <c r="L30" i="26"/>
  <c r="H30" i="26"/>
  <c r="G30" i="26"/>
  <c r="F30" i="26"/>
  <c r="E30" i="26"/>
  <c r="D30" i="26"/>
  <c r="O29" i="26"/>
  <c r="I29" i="26"/>
  <c r="C29" i="26"/>
  <c r="O28" i="26"/>
  <c r="I28" i="26"/>
  <c r="C28" i="26"/>
  <c r="T27" i="26"/>
  <c r="O27" i="26" s="1"/>
  <c r="N27" i="26"/>
  <c r="M27" i="26"/>
  <c r="L27" i="26"/>
  <c r="H27" i="26"/>
  <c r="G27" i="26"/>
  <c r="F27" i="26"/>
  <c r="E27" i="26"/>
  <c r="D27" i="26"/>
  <c r="O26" i="26"/>
  <c r="I26" i="26"/>
  <c r="C26" i="26"/>
  <c r="T25" i="26"/>
  <c r="S25" i="26"/>
  <c r="S24" i="26" s="1"/>
  <c r="R25" i="26"/>
  <c r="R24" i="26" s="1"/>
  <c r="N25" i="26"/>
  <c r="M25" i="26"/>
  <c r="L25" i="26"/>
  <c r="H25" i="26"/>
  <c r="G25" i="26"/>
  <c r="F25" i="26"/>
  <c r="E25" i="26"/>
  <c r="D25" i="26"/>
  <c r="Q24" i="26"/>
  <c r="P24" i="26"/>
  <c r="K24" i="26"/>
  <c r="J24" i="26"/>
  <c r="O23" i="26"/>
  <c r="I23" i="26"/>
  <c r="C23" i="26"/>
  <c r="O22" i="26"/>
  <c r="I22" i="26"/>
  <c r="C22" i="26"/>
  <c r="O21" i="26"/>
  <c r="I21" i="26"/>
  <c r="C21" i="26"/>
  <c r="S20" i="26"/>
  <c r="R20" i="26"/>
  <c r="P20" i="26"/>
  <c r="N20" i="26"/>
  <c r="M20" i="26"/>
  <c r="L20" i="26"/>
  <c r="J20" i="26"/>
  <c r="H20" i="26"/>
  <c r="G20" i="26"/>
  <c r="F20" i="26"/>
  <c r="E20" i="26"/>
  <c r="D20" i="26"/>
  <c r="O17" i="26"/>
  <c r="I17" i="26"/>
  <c r="C17" i="26"/>
  <c r="O16" i="26"/>
  <c r="I16" i="26"/>
  <c r="F16" i="26"/>
  <c r="O15" i="26"/>
  <c r="I15" i="26"/>
  <c r="C15" i="26"/>
  <c r="O14" i="26"/>
  <c r="I14" i="26"/>
  <c r="C14" i="26"/>
  <c r="O13" i="26"/>
  <c r="I13" i="26"/>
  <c r="C13" i="26"/>
  <c r="O12" i="26"/>
  <c r="H12" i="26"/>
  <c r="H5" i="26" s="1"/>
  <c r="G12" i="26"/>
  <c r="E12" i="26"/>
  <c r="D12" i="26"/>
  <c r="O11" i="26"/>
  <c r="I11" i="26"/>
  <c r="C11" i="26"/>
  <c r="O10" i="26"/>
  <c r="I10" i="26"/>
  <c r="C10" i="26"/>
  <c r="Q9" i="26"/>
  <c r="O9" i="26" s="1"/>
  <c r="K9" i="26"/>
  <c r="G9" i="26"/>
  <c r="E9" i="26"/>
  <c r="D9" i="26"/>
  <c r="O8" i="26"/>
  <c r="I8" i="26"/>
  <c r="C8" i="26"/>
  <c r="O7" i="26"/>
  <c r="I7" i="26"/>
  <c r="C7" i="26"/>
  <c r="R6" i="26"/>
  <c r="R5" i="26" s="1"/>
  <c r="G6" i="26"/>
  <c r="F6" i="26"/>
  <c r="T5" i="26"/>
  <c r="S5" i="26"/>
  <c r="P5" i="26"/>
  <c r="N5" i="26"/>
  <c r="M5" i="26"/>
  <c r="J5" i="26"/>
  <c r="K306" i="26" l="1"/>
  <c r="L39" i="26"/>
  <c r="I39" i="26" s="1"/>
  <c r="I40" i="26"/>
  <c r="H24" i="26"/>
  <c r="E204" i="27"/>
  <c r="G204" i="27"/>
  <c r="U334" i="26"/>
  <c r="E265" i="27"/>
  <c r="G224" i="27"/>
  <c r="G221" i="27"/>
  <c r="D217" i="27"/>
  <c r="G217" i="27" s="1"/>
  <c r="G218" i="27"/>
  <c r="E348" i="27"/>
  <c r="G316" i="27"/>
  <c r="E360" i="27"/>
  <c r="G342" i="27"/>
  <c r="G337" i="27"/>
  <c r="G348" i="27"/>
  <c r="E337" i="27"/>
  <c r="G18" i="27"/>
  <c r="E316" i="27"/>
  <c r="G357" i="27"/>
  <c r="E357" i="27"/>
  <c r="G360" i="27"/>
  <c r="G367" i="27"/>
  <c r="E367" i="27"/>
  <c r="D238" i="27"/>
  <c r="K210" i="26"/>
  <c r="K186" i="26" s="1"/>
  <c r="T210" i="26"/>
  <c r="T186" i="26" s="1"/>
  <c r="O123" i="26"/>
  <c r="D115" i="27"/>
  <c r="I126" i="26"/>
  <c r="C118" i="27"/>
  <c r="O170" i="26"/>
  <c r="D139" i="27"/>
  <c r="E139" i="27" s="1"/>
  <c r="O126" i="26"/>
  <c r="D118" i="27"/>
  <c r="G100" i="27"/>
  <c r="I78" i="26"/>
  <c r="C93" i="27"/>
  <c r="C90" i="27" s="1"/>
  <c r="O78" i="26"/>
  <c r="D93" i="27"/>
  <c r="D90" i="27" s="1"/>
  <c r="R92" i="26"/>
  <c r="D156" i="27"/>
  <c r="D155" i="27" s="1"/>
  <c r="F155" i="27" s="1"/>
  <c r="J210" i="26"/>
  <c r="S210" i="26"/>
  <c r="S186" i="26" s="1"/>
  <c r="S372" i="26" s="1"/>
  <c r="D54" i="27"/>
  <c r="G334" i="27"/>
  <c r="G283" i="27"/>
  <c r="O6" i="26"/>
  <c r="D210" i="26"/>
  <c r="M210" i="26"/>
  <c r="M186" i="26" s="1"/>
  <c r="E210" i="26"/>
  <c r="N210" i="26"/>
  <c r="U215" i="26"/>
  <c r="U186" i="26" s="1"/>
  <c r="I219" i="26"/>
  <c r="L210" i="26"/>
  <c r="L186" i="26" s="1"/>
  <c r="C187" i="26"/>
  <c r="R210" i="26"/>
  <c r="R186" i="26" s="1"/>
  <c r="P210" i="26"/>
  <c r="P186" i="26" s="1"/>
  <c r="Q210" i="26"/>
  <c r="Q186" i="26" s="1"/>
  <c r="F215" i="26"/>
  <c r="F210" i="26"/>
  <c r="G210" i="26"/>
  <c r="H210" i="26"/>
  <c r="O281" i="26"/>
  <c r="G215" i="26"/>
  <c r="N280" i="26"/>
  <c r="D280" i="26"/>
  <c r="N244" i="26"/>
  <c r="H280" i="26"/>
  <c r="H306" i="26"/>
  <c r="F38" i="26"/>
  <c r="C38" i="26" s="1"/>
  <c r="E123" i="27"/>
  <c r="E128" i="27"/>
  <c r="E124" i="27"/>
  <c r="E334" i="27"/>
  <c r="G129" i="27"/>
  <c r="G289" i="27"/>
  <c r="O43" i="26"/>
  <c r="R39" i="26"/>
  <c r="L38" i="26"/>
  <c r="C93" i="26"/>
  <c r="F92" i="26"/>
  <c r="C92" i="26" s="1"/>
  <c r="I93" i="26"/>
  <c r="L92" i="26"/>
  <c r="I92" i="26" s="1"/>
  <c r="H215" i="26"/>
  <c r="O354" i="26"/>
  <c r="R349" i="26"/>
  <c r="D200" i="27" s="1"/>
  <c r="O337" i="26"/>
  <c r="R335" i="26"/>
  <c r="O164" i="26"/>
  <c r="R163" i="26"/>
  <c r="D132" i="27" s="1"/>
  <c r="I337" i="26"/>
  <c r="L335" i="26"/>
  <c r="C164" i="26"/>
  <c r="F163" i="26"/>
  <c r="C163" i="26" s="1"/>
  <c r="I143" i="26"/>
  <c r="L139" i="26"/>
  <c r="E280" i="26"/>
  <c r="N215" i="26"/>
  <c r="J280" i="26"/>
  <c r="C67" i="26"/>
  <c r="F53" i="26"/>
  <c r="C53" i="26" s="1"/>
  <c r="F349" i="26"/>
  <c r="F334" i="26" s="1"/>
  <c r="C345" i="26"/>
  <c r="E23" i="27"/>
  <c r="E224" i="27"/>
  <c r="D233" i="27"/>
  <c r="E215" i="26"/>
  <c r="D215" i="26"/>
  <c r="D186" i="26" s="1"/>
  <c r="F5" i="26"/>
  <c r="O219" i="26"/>
  <c r="I6" i="26"/>
  <c r="O216" i="26"/>
  <c r="J215" i="26"/>
  <c r="I216" i="26"/>
  <c r="L135" i="26"/>
  <c r="I256" i="26"/>
  <c r="F313" i="26"/>
  <c r="F312" i="26" s="1"/>
  <c r="E306" i="26"/>
  <c r="C140" i="26"/>
  <c r="L313" i="26"/>
  <c r="O54" i="26"/>
  <c r="L280" i="26"/>
  <c r="C318" i="27" s="1"/>
  <c r="C9" i="26"/>
  <c r="N313" i="26"/>
  <c r="N312" i="26" s="1"/>
  <c r="E5" i="26"/>
  <c r="C16" i="26"/>
  <c r="C12" i="26"/>
  <c r="C6" i="26"/>
  <c r="D5" i="26"/>
  <c r="T313" i="26"/>
  <c r="T312" i="26" s="1"/>
  <c r="J200" i="26"/>
  <c r="O345" i="26"/>
  <c r="O340" i="26"/>
  <c r="I340" i="26"/>
  <c r="E58" i="27"/>
  <c r="G82" i="27"/>
  <c r="E79" i="27"/>
  <c r="G347" i="27"/>
  <c r="E176" i="27"/>
  <c r="E205" i="27"/>
  <c r="Q304" i="26"/>
  <c r="Q298" i="26" s="1"/>
  <c r="G176" i="27"/>
  <c r="G205" i="27"/>
  <c r="E288" i="27"/>
  <c r="E326" i="27"/>
  <c r="P298" i="26"/>
  <c r="G326" i="27"/>
  <c r="G43" i="27"/>
  <c r="G58" i="27"/>
  <c r="G39" i="27"/>
  <c r="G327" i="27"/>
  <c r="I188" i="26"/>
  <c r="C257" i="27"/>
  <c r="E289" i="27"/>
  <c r="Q180" i="26"/>
  <c r="G116" i="27"/>
  <c r="Q306" i="26"/>
  <c r="G123" i="27"/>
  <c r="E31" i="27"/>
  <c r="G299" i="27"/>
  <c r="G331" i="27"/>
  <c r="M24" i="26"/>
  <c r="F298" i="26"/>
  <c r="J313" i="26"/>
  <c r="J312" i="26" s="1"/>
  <c r="K313" i="26"/>
  <c r="K312" i="26" s="1"/>
  <c r="D313" i="26"/>
  <c r="D312" i="26" s="1"/>
  <c r="P313" i="26"/>
  <c r="P312" i="26" s="1"/>
  <c r="Q280" i="26"/>
  <c r="I157" i="26"/>
  <c r="F175" i="27"/>
  <c r="G236" i="27"/>
  <c r="D257" i="27"/>
  <c r="E218" i="27"/>
  <c r="E221" i="27"/>
  <c r="E236" i="27"/>
  <c r="E270" i="27"/>
  <c r="E275" i="27"/>
  <c r="E63" i="27"/>
  <c r="E302" i="27"/>
  <c r="E327" i="27"/>
  <c r="G260" i="27"/>
  <c r="C267" i="27"/>
  <c r="G307" i="27"/>
  <c r="E324" i="27"/>
  <c r="G258" i="27"/>
  <c r="D267" i="27"/>
  <c r="G188" i="27"/>
  <c r="G192" i="27"/>
  <c r="E39" i="27"/>
  <c r="E268" i="27"/>
  <c r="E299" i="27"/>
  <c r="G320" i="27"/>
  <c r="G341" i="27"/>
  <c r="E320" i="27"/>
  <c r="E22" i="27"/>
  <c r="E50" i="27"/>
  <c r="E161" i="27"/>
  <c r="G302" i="27"/>
  <c r="E251" i="27"/>
  <c r="C30" i="27"/>
  <c r="E65" i="27"/>
  <c r="G75" i="27"/>
  <c r="E321" i="27"/>
  <c r="E325" i="27"/>
  <c r="G268" i="27"/>
  <c r="E192" i="27"/>
  <c r="E307" i="27"/>
  <c r="G321" i="27"/>
  <c r="G325" i="27"/>
  <c r="E16" i="27"/>
  <c r="E260" i="27"/>
  <c r="G270" i="27"/>
  <c r="E43" i="27"/>
  <c r="G108" i="27"/>
  <c r="G134" i="27"/>
  <c r="D30" i="27"/>
  <c r="O25" i="26"/>
  <c r="O24" i="26" s="1"/>
  <c r="Q75" i="26"/>
  <c r="F280" i="26"/>
  <c r="E244" i="26"/>
  <c r="H298" i="26"/>
  <c r="G24" i="26"/>
  <c r="C319" i="26"/>
  <c r="E313" i="26"/>
  <c r="E312" i="26" s="1"/>
  <c r="C238" i="26"/>
  <c r="C188" i="26"/>
  <c r="O188" i="26"/>
  <c r="O287" i="26"/>
  <c r="N298" i="26"/>
  <c r="C20" i="26"/>
  <c r="R135" i="26"/>
  <c r="K245" i="26"/>
  <c r="K244" i="26" s="1"/>
  <c r="E304" i="26"/>
  <c r="C304" i="26" s="1"/>
  <c r="H334" i="26"/>
  <c r="G5" i="26"/>
  <c r="Q20" i="26"/>
  <c r="O20" i="26" s="1"/>
  <c r="I25" i="26"/>
  <c r="L75" i="26"/>
  <c r="L129" i="26"/>
  <c r="T180" i="26"/>
  <c r="O200" i="26"/>
  <c r="C213" i="26"/>
  <c r="C27" i="26"/>
  <c r="C54" i="26"/>
  <c r="F123" i="26"/>
  <c r="C123" i="26" s="1"/>
  <c r="C181" i="26"/>
  <c r="C180" i="26" s="1"/>
  <c r="D244" i="26"/>
  <c r="I322" i="26"/>
  <c r="F24" i="26"/>
  <c r="I213" i="26"/>
  <c r="O329" i="26"/>
  <c r="I54" i="26"/>
  <c r="L123" i="26"/>
  <c r="C194" i="26"/>
  <c r="O238" i="26"/>
  <c r="C351" i="26"/>
  <c r="I9" i="26"/>
  <c r="C219" i="26"/>
  <c r="H244" i="26"/>
  <c r="C307" i="26"/>
  <c r="O310" i="26"/>
  <c r="E24" i="26"/>
  <c r="I36" i="26"/>
  <c r="C36" i="26"/>
  <c r="I180" i="26"/>
  <c r="U180" i="26" s="1"/>
  <c r="C211" i="26"/>
  <c r="C278" i="26"/>
  <c r="O278" i="26"/>
  <c r="C287" i="26"/>
  <c r="P280" i="26"/>
  <c r="R298" i="26"/>
  <c r="D336" i="27" s="1"/>
  <c r="T298" i="26"/>
  <c r="O319" i="26"/>
  <c r="C341" i="26"/>
  <c r="R307" i="26"/>
  <c r="O211" i="26"/>
  <c r="Q245" i="26"/>
  <c r="Q244" i="26" s="1"/>
  <c r="I281" i="26"/>
  <c r="J298" i="26"/>
  <c r="T306" i="26"/>
  <c r="C310" i="26"/>
  <c r="K5" i="26"/>
  <c r="I30" i="26"/>
  <c r="R175" i="26"/>
  <c r="O194" i="26"/>
  <c r="T244" i="26"/>
  <c r="I287" i="26"/>
  <c r="J306" i="26"/>
  <c r="P306" i="26"/>
  <c r="H313" i="26"/>
  <c r="H312" i="26" s="1"/>
  <c r="L53" i="26"/>
  <c r="I53" i="26" s="1"/>
  <c r="R75" i="26"/>
  <c r="I194" i="26"/>
  <c r="K280" i="26"/>
  <c r="I299" i="26"/>
  <c r="F306" i="26"/>
  <c r="I319" i="26"/>
  <c r="E180" i="26"/>
  <c r="O36" i="26"/>
  <c r="V36" i="26" s="1"/>
  <c r="F175" i="26"/>
  <c r="C175" i="26" s="1"/>
  <c r="I211" i="26"/>
  <c r="O213" i="26"/>
  <c r="O256" i="26"/>
  <c r="R280" i="26"/>
  <c r="D318" i="27" s="1"/>
  <c r="C299" i="26"/>
  <c r="N306" i="26"/>
  <c r="I329" i="26"/>
  <c r="T24" i="26"/>
  <c r="N24" i="26"/>
  <c r="C30" i="26"/>
  <c r="L175" i="26"/>
  <c r="I175" i="26" s="1"/>
  <c r="C200" i="26"/>
  <c r="C281" i="26"/>
  <c r="O299" i="26"/>
  <c r="I310" i="26"/>
  <c r="I67" i="26"/>
  <c r="C75" i="26"/>
  <c r="G103" i="27"/>
  <c r="Q5" i="26"/>
  <c r="F75" i="26"/>
  <c r="C216" i="26"/>
  <c r="C257" i="26"/>
  <c r="G63" i="27"/>
  <c r="R53" i="26"/>
  <c r="R129" i="26"/>
  <c r="D121" i="27" s="1"/>
  <c r="I136" i="26"/>
  <c r="C157" i="26"/>
  <c r="D306" i="26"/>
  <c r="C350" i="26"/>
  <c r="C233" i="27"/>
  <c r="C216" i="27" s="1"/>
  <c r="E234" i="27"/>
  <c r="E18" i="27"/>
  <c r="K75" i="26"/>
  <c r="O93" i="26"/>
  <c r="I140" i="26"/>
  <c r="D138" i="27"/>
  <c r="G138" i="27" s="1"/>
  <c r="G50" i="27"/>
  <c r="G55" i="27"/>
  <c r="G71" i="27"/>
  <c r="G122" i="27"/>
  <c r="E36" i="27"/>
  <c r="G279" i="27"/>
  <c r="G79" i="27"/>
  <c r="G117" i="27"/>
  <c r="E117" i="27"/>
  <c r="E122" i="27"/>
  <c r="G152" i="27"/>
  <c r="G265" i="27"/>
  <c r="F265" i="27"/>
  <c r="C274" i="27"/>
  <c r="C273" i="27" s="1"/>
  <c r="G275" i="27"/>
  <c r="E279" i="27"/>
  <c r="L24" i="26"/>
  <c r="I27" i="26"/>
  <c r="I308" i="26"/>
  <c r="L307" i="26"/>
  <c r="C314" i="26"/>
  <c r="C322" i="26"/>
  <c r="E55" i="27"/>
  <c r="G243" i="27"/>
  <c r="E243" i="27"/>
  <c r="D24" i="26"/>
  <c r="K20" i="26"/>
  <c r="I20" i="26" s="1"/>
  <c r="C25" i="26"/>
  <c r="O157" i="26"/>
  <c r="V157" i="26" s="1"/>
  <c r="I278" i="26"/>
  <c r="J244" i="26"/>
  <c r="L298" i="26"/>
  <c r="C336" i="27" s="1"/>
  <c r="Q313" i="26"/>
  <c r="O322" i="26"/>
  <c r="C329" i="26"/>
  <c r="G199" i="27"/>
  <c r="E199" i="27"/>
  <c r="F169" i="26"/>
  <c r="L238" i="26"/>
  <c r="C245" i="26"/>
  <c r="D42" i="27"/>
  <c r="K304" i="26"/>
  <c r="K298" i="26" s="1"/>
  <c r="C54" i="27"/>
  <c r="R313" i="26"/>
  <c r="C336" i="26"/>
  <c r="E152" i="27"/>
  <c r="E157" i="27"/>
  <c r="P244" i="26"/>
  <c r="G157" i="27"/>
  <c r="G156" i="27" s="1"/>
  <c r="E291" i="27"/>
  <c r="E197" i="27"/>
  <c r="E188" i="27"/>
  <c r="O53" i="26" l="1"/>
  <c r="O175" i="26"/>
  <c r="V175" i="26" s="1"/>
  <c r="O92" i="26"/>
  <c r="V92" i="26"/>
  <c r="V53" i="26"/>
  <c r="R38" i="26"/>
  <c r="O39" i="26"/>
  <c r="V20" i="26"/>
  <c r="I38" i="26"/>
  <c r="U175" i="26"/>
  <c r="F257" i="27"/>
  <c r="F54" i="27"/>
  <c r="G155" i="27"/>
  <c r="M372" i="26"/>
  <c r="F30" i="27"/>
  <c r="N186" i="26"/>
  <c r="E186" i="26"/>
  <c r="E217" i="27"/>
  <c r="E318" i="27"/>
  <c r="F90" i="27"/>
  <c r="G336" i="27"/>
  <c r="G118" i="27"/>
  <c r="E336" i="27"/>
  <c r="R312" i="26"/>
  <c r="D350" i="27" s="1"/>
  <c r="D351" i="27"/>
  <c r="L306" i="26"/>
  <c r="C344" i="27" s="1"/>
  <c r="C345" i="27"/>
  <c r="L312" i="26"/>
  <c r="C350" i="27" s="1"/>
  <c r="C351" i="27"/>
  <c r="I238" i="26"/>
  <c r="C278" i="27"/>
  <c r="G278" i="27" s="1"/>
  <c r="G318" i="27"/>
  <c r="R306" i="26"/>
  <c r="D344" i="27" s="1"/>
  <c r="D345" i="27"/>
  <c r="D216" i="27"/>
  <c r="F216" i="27" s="1"/>
  <c r="AD20" i="26"/>
  <c r="G139" i="27"/>
  <c r="E93" i="27"/>
  <c r="G90" i="27"/>
  <c r="E90" i="27"/>
  <c r="G93" i="27"/>
  <c r="E118" i="27"/>
  <c r="I135" i="26"/>
  <c r="C127" i="27"/>
  <c r="I129" i="26"/>
  <c r="C121" i="27"/>
  <c r="G121" i="27" s="1"/>
  <c r="C115" i="27"/>
  <c r="G115" i="27" s="1"/>
  <c r="U123" i="26"/>
  <c r="U122" i="26" s="1"/>
  <c r="G200" i="27"/>
  <c r="E200" i="27"/>
  <c r="O335" i="26"/>
  <c r="D186" i="27"/>
  <c r="O135" i="26"/>
  <c r="D127" i="27"/>
  <c r="D114" i="27" s="1"/>
  <c r="E156" i="27"/>
  <c r="L138" i="26"/>
  <c r="C96" i="27"/>
  <c r="L334" i="26"/>
  <c r="I334" i="26" s="1"/>
  <c r="C186" i="27"/>
  <c r="C185" i="27" s="1"/>
  <c r="F237" i="26"/>
  <c r="D130" i="27"/>
  <c r="G130" i="27" s="1"/>
  <c r="G132" i="27"/>
  <c r="E132" i="27"/>
  <c r="G282" i="27"/>
  <c r="E282" i="27"/>
  <c r="G78" i="27"/>
  <c r="G301" i="27"/>
  <c r="F267" i="27"/>
  <c r="H186" i="26"/>
  <c r="O186" i="26"/>
  <c r="G186" i="26"/>
  <c r="G372" i="26" s="1"/>
  <c r="I200" i="26"/>
  <c r="J186" i="26"/>
  <c r="R161" i="26"/>
  <c r="F161" i="26"/>
  <c r="C161" i="26" s="1"/>
  <c r="I335" i="26"/>
  <c r="C280" i="26"/>
  <c r="R334" i="26"/>
  <c r="O349" i="26"/>
  <c r="O163" i="26"/>
  <c r="O150" i="26"/>
  <c r="E155" i="27"/>
  <c r="C349" i="26"/>
  <c r="O215" i="26"/>
  <c r="C340" i="26"/>
  <c r="I215" i="26"/>
  <c r="E301" i="27"/>
  <c r="G324" i="27"/>
  <c r="G233" i="27"/>
  <c r="D5" i="27"/>
  <c r="F5" i="27" s="1"/>
  <c r="G288" i="27"/>
  <c r="G267" i="27"/>
  <c r="E6" i="27"/>
  <c r="G273" i="27"/>
  <c r="F273" i="27"/>
  <c r="E273" i="27"/>
  <c r="G196" i="27"/>
  <c r="E196" i="27"/>
  <c r="I280" i="26"/>
  <c r="I314" i="26"/>
  <c r="O75" i="26"/>
  <c r="O181" i="26"/>
  <c r="O180" i="26" s="1"/>
  <c r="V180" i="26" s="1"/>
  <c r="E298" i="26"/>
  <c r="C298" i="26" s="1"/>
  <c r="O138" i="26"/>
  <c r="H237" i="26"/>
  <c r="C5" i="26"/>
  <c r="I5" i="26"/>
  <c r="O304" i="26"/>
  <c r="I349" i="26"/>
  <c r="G30" i="27"/>
  <c r="E331" i="27"/>
  <c r="I197" i="26"/>
  <c r="O298" i="26"/>
  <c r="G54" i="27"/>
  <c r="E267" i="27"/>
  <c r="G257" i="27"/>
  <c r="F122" i="26"/>
  <c r="C122" i="26" s="1"/>
  <c r="I245" i="26"/>
  <c r="I75" i="26"/>
  <c r="I210" i="26"/>
  <c r="U36" i="26"/>
  <c r="O210" i="26"/>
  <c r="L244" i="26"/>
  <c r="C210" i="26"/>
  <c r="E257" i="27"/>
  <c r="E233" i="27"/>
  <c r="E75" i="27"/>
  <c r="G175" i="27"/>
  <c r="E30" i="27"/>
  <c r="G281" i="27"/>
  <c r="O307" i="26"/>
  <c r="C24" i="26"/>
  <c r="C306" i="26"/>
  <c r="C312" i="26"/>
  <c r="I24" i="26"/>
  <c r="V24" i="26" s="1"/>
  <c r="O280" i="26"/>
  <c r="I306" i="26"/>
  <c r="T237" i="26"/>
  <c r="T372" i="26" s="1"/>
  <c r="O245" i="26"/>
  <c r="L122" i="26"/>
  <c r="I122" i="26" s="1"/>
  <c r="I123" i="26"/>
  <c r="N237" i="26"/>
  <c r="C256" i="26"/>
  <c r="C313" i="26"/>
  <c r="O306" i="26"/>
  <c r="I298" i="26"/>
  <c r="I307" i="26"/>
  <c r="R244" i="26"/>
  <c r="I313" i="26"/>
  <c r="I161" i="26"/>
  <c r="I169" i="26"/>
  <c r="C169" i="26"/>
  <c r="G102" i="27"/>
  <c r="F42" i="27"/>
  <c r="E42" i="27"/>
  <c r="I304" i="26"/>
  <c r="F151" i="27"/>
  <c r="E151" i="27"/>
  <c r="K237" i="26"/>
  <c r="J237" i="26"/>
  <c r="O169" i="26"/>
  <c r="E138" i="27"/>
  <c r="G133" i="27"/>
  <c r="E133" i="27"/>
  <c r="C335" i="26"/>
  <c r="G151" i="27"/>
  <c r="G70" i="27"/>
  <c r="E70" i="27"/>
  <c r="C197" i="26"/>
  <c r="G42" i="27"/>
  <c r="E274" i="27"/>
  <c r="G274" i="27"/>
  <c r="E54" i="27"/>
  <c r="F78" i="27"/>
  <c r="C215" i="26"/>
  <c r="E238" i="27"/>
  <c r="G238" i="27"/>
  <c r="P237" i="26"/>
  <c r="P372" i="26" s="1"/>
  <c r="Q312" i="26"/>
  <c r="O313" i="26"/>
  <c r="O314" i="26"/>
  <c r="R122" i="26"/>
  <c r="O129" i="26"/>
  <c r="E281" i="27"/>
  <c r="C244" i="26"/>
  <c r="D237" i="26"/>
  <c r="D372" i="26" s="1"/>
  <c r="L372" i="26" l="1"/>
  <c r="L237" i="26"/>
  <c r="O334" i="26"/>
  <c r="V334" i="26" s="1"/>
  <c r="O161" i="26"/>
  <c r="V161" i="26" s="1"/>
  <c r="O122" i="26"/>
  <c r="V122" i="26" s="1"/>
  <c r="I186" i="26"/>
  <c r="R237" i="26"/>
  <c r="O38" i="26"/>
  <c r="V38" i="26" s="1"/>
  <c r="U75" i="26"/>
  <c r="V75" i="26"/>
  <c r="G216" i="27"/>
  <c r="H372" i="26"/>
  <c r="J372" i="26"/>
  <c r="N372" i="26"/>
  <c r="E278" i="27"/>
  <c r="E344" i="27"/>
  <c r="G351" i="27"/>
  <c r="G350" i="27"/>
  <c r="E345" i="27"/>
  <c r="AD5" i="26"/>
  <c r="AE5" i="26"/>
  <c r="G344" i="27"/>
  <c r="D284" i="27"/>
  <c r="E351" i="27"/>
  <c r="I244" i="26"/>
  <c r="C284" i="27"/>
  <c r="G345" i="27"/>
  <c r="I312" i="26"/>
  <c r="E350" i="27"/>
  <c r="E115" i="27"/>
  <c r="C114" i="27"/>
  <c r="G114" i="27" s="1"/>
  <c r="G186" i="27"/>
  <c r="E121" i="27"/>
  <c r="G127" i="27"/>
  <c r="E127" i="27"/>
  <c r="C95" i="27"/>
  <c r="G95" i="27" s="1"/>
  <c r="E96" i="27"/>
  <c r="G96" i="27"/>
  <c r="D185" i="27"/>
  <c r="G185" i="27" s="1"/>
  <c r="E186" i="27"/>
  <c r="F130" i="27"/>
  <c r="G5" i="27"/>
  <c r="E5" i="27"/>
  <c r="G329" i="27"/>
  <c r="E329" i="27"/>
  <c r="G330" i="27"/>
  <c r="E330" i="27"/>
  <c r="E237" i="26"/>
  <c r="E372" i="26" s="1"/>
  <c r="O244" i="26"/>
  <c r="C334" i="26"/>
  <c r="E130" i="27"/>
  <c r="Q237" i="26"/>
  <c r="Q372" i="26" s="1"/>
  <c r="O312" i="26"/>
  <c r="V186" i="26" l="1"/>
  <c r="G284" i="27"/>
  <c r="C277" i="27"/>
  <c r="D277" i="27"/>
  <c r="E284" i="27"/>
  <c r="F114" i="27"/>
  <c r="E114" i="27"/>
  <c r="F185" i="27"/>
  <c r="F95" i="27"/>
  <c r="E185" i="27"/>
  <c r="E95" i="27"/>
  <c r="I150" i="26"/>
  <c r="I138" i="26"/>
  <c r="V138" i="26" s="1"/>
  <c r="C237" i="26"/>
  <c r="I237" i="26"/>
  <c r="O237" i="26"/>
  <c r="V237" i="26" l="1"/>
  <c r="G277" i="27"/>
  <c r="E277" i="27"/>
  <c r="F277" i="27"/>
  <c r="U237" i="26"/>
  <c r="F442" i="21" l="1"/>
  <c r="G440" i="21" s="1"/>
  <c r="F437" i="21"/>
  <c r="F436" i="21"/>
  <c r="F435" i="21"/>
  <c r="F302" i="21"/>
  <c r="F301" i="21"/>
  <c r="E300" i="21"/>
  <c r="F300" i="21" s="1"/>
  <c r="F276" i="21"/>
  <c r="F263" i="21"/>
  <c r="F259" i="21"/>
  <c r="F258" i="21"/>
  <c r="F215" i="21"/>
  <c r="F214" i="21"/>
  <c r="F211" i="21"/>
  <c r="F208" i="21"/>
  <c r="F207" i="21"/>
  <c r="F205" i="21"/>
  <c r="F204" i="21"/>
  <c r="F196" i="21"/>
  <c r="G190" i="21" s="1"/>
  <c r="F184" i="21"/>
  <c r="F183" i="21"/>
  <c r="F153" i="21"/>
  <c r="G146" i="21" s="1"/>
  <c r="E120" i="21"/>
  <c r="F120" i="21" s="1"/>
  <c r="F25" i="21"/>
  <c r="F23" i="21"/>
  <c r="F17" i="21"/>
  <c r="F16" i="21"/>
  <c r="F15" i="21"/>
  <c r="G7" i="21" l="1"/>
  <c r="G180" i="21"/>
  <c r="G433" i="21"/>
  <c r="G255" i="21"/>
  <c r="G212" i="21"/>
  <c r="G454" i="21" l="1"/>
  <c r="I370" i="26" l="1"/>
  <c r="I369" i="26"/>
  <c r="I368" i="26" l="1"/>
  <c r="I367" i="26" l="1"/>
  <c r="I366" i="26" s="1"/>
  <c r="K366" i="26"/>
  <c r="U366" i="26" l="1"/>
  <c r="V366" i="26"/>
  <c r="U372" i="26"/>
  <c r="C74" i="26" l="1"/>
  <c r="F73" i="26"/>
  <c r="F65" i="26" s="1"/>
  <c r="C65" i="26" l="1"/>
  <c r="C73" i="26"/>
  <c r="I74" i="26"/>
  <c r="L73" i="26"/>
  <c r="L65" i="26" l="1"/>
  <c r="C76" i="27"/>
  <c r="I73" i="26"/>
  <c r="I65" i="26" l="1"/>
  <c r="C68" i="27"/>
  <c r="O74" i="26"/>
  <c r="R73" i="26"/>
  <c r="R65" i="26" l="1"/>
  <c r="D76" i="27"/>
  <c r="O73" i="26"/>
  <c r="O65" i="26" l="1"/>
  <c r="V65" i="26" s="1"/>
  <c r="D68" i="27"/>
  <c r="F68" i="27" s="1"/>
  <c r="E76" i="27"/>
  <c r="G76" i="27"/>
  <c r="C90" i="26"/>
  <c r="C81" i="26"/>
  <c r="C80" i="26"/>
  <c r="I81" i="26"/>
  <c r="O81" i="26"/>
  <c r="L80" i="26"/>
  <c r="R80" i="26"/>
  <c r="O80" i="26" l="1"/>
  <c r="R372" i="26"/>
  <c r="E68" i="27"/>
  <c r="G68" i="27"/>
  <c r="C112" i="26"/>
  <c r="I115" i="26"/>
  <c r="I112" i="26" l="1"/>
  <c r="O115" i="26" l="1"/>
  <c r="O112" i="26" l="1"/>
  <c r="V112" i="26" s="1"/>
  <c r="O372" i="26" l="1"/>
  <c r="C143" i="26"/>
  <c r="C150" i="26"/>
  <c r="C138" i="26" l="1"/>
  <c r="I90" i="26"/>
  <c r="K80" i="26"/>
  <c r="K372" i="26" s="1"/>
  <c r="I80" i="26" l="1"/>
  <c r="I372" i="26" l="1"/>
  <c r="V80" i="26"/>
  <c r="V372" i="26" l="1"/>
  <c r="C208" i="26"/>
  <c r="C206" i="26"/>
  <c r="F205" i="26"/>
  <c r="F186" i="26" s="1"/>
  <c r="F372" i="26" s="1"/>
  <c r="I208" i="26"/>
  <c r="O208" i="26"/>
  <c r="E216" i="27"/>
  <c r="E231" i="27"/>
  <c r="C205" i="26" l="1"/>
  <c r="C186" i="26"/>
  <c r="C372" i="26" s="1"/>
  <c r="G372" i="27"/>
  <c r="O90" i="26" l="1"/>
  <c r="Q90" i="26"/>
  <c r="C115" i="26"/>
</calcChain>
</file>

<file path=xl/sharedStrings.xml><?xml version="1.0" encoding="utf-8"?>
<sst xmlns="http://schemas.openxmlformats.org/spreadsheetml/2006/main" count="2208" uniqueCount="1220">
  <si>
    <t>Система</t>
  </si>
  <si>
    <t>№ п/п</t>
  </si>
  <si>
    <t>Критерий оценки</t>
  </si>
  <si>
    <t>Параметры оценки критерия (W)</t>
  </si>
  <si>
    <r>
      <t>Коли-чественная оценка параметра (W</t>
    </r>
    <r>
      <rPr>
        <b/>
        <vertAlign val="subscript"/>
        <sz val="10"/>
        <rFont val="Times New Roman"/>
        <family val="1"/>
        <charset val="204"/>
      </rPr>
      <t>i</t>
    </r>
    <r>
      <rPr>
        <b/>
        <sz val="10"/>
        <rFont val="Times New Roman"/>
        <family val="1"/>
        <charset val="204"/>
      </rPr>
      <t>)</t>
    </r>
  </si>
  <si>
    <t>Наименование критерия</t>
  </si>
  <si>
    <t>Весовой коэффициент критерия</t>
  </si>
  <si>
    <r>
      <t>(G</t>
    </r>
    <r>
      <rPr>
        <b/>
        <vertAlign val="subscript"/>
        <sz val="10"/>
        <rFont val="Times New Roman"/>
        <family val="1"/>
        <charset val="204"/>
      </rPr>
      <t>1</t>
    </r>
    <r>
      <rPr>
        <b/>
        <sz val="10"/>
        <rFont val="Times New Roman"/>
        <family val="1"/>
        <charset val="204"/>
      </rPr>
      <t xml:space="preserve"> – G</t>
    </r>
    <r>
      <rPr>
        <b/>
        <vertAlign val="subscript"/>
        <sz val="10"/>
        <rFont val="Times New Roman"/>
        <family val="1"/>
        <charset val="204"/>
      </rPr>
      <t>8</t>
    </r>
    <r>
      <rPr>
        <b/>
        <sz val="10"/>
        <rFont val="Times New Roman"/>
        <family val="1"/>
        <charset val="204"/>
      </rPr>
      <t>)</t>
    </r>
  </si>
  <si>
    <t>1.</t>
  </si>
  <si>
    <t>1. Среднее значение выполнения целевых показателей, утвержденных в программе, составляет 90-100%</t>
  </si>
  <si>
    <t>Среднее значение выполнения целевых показателей составляет 60-89,9%</t>
  </si>
  <si>
    <t>Среднее значение выполнения целевых показателей составляет 30-59,9%</t>
  </si>
  <si>
    <t>Среднее значение выполнения целевых показателей составляет менее 30%</t>
  </si>
  <si>
    <t>2.</t>
  </si>
  <si>
    <t>Финансовое обеспечение составило не менее 80%</t>
  </si>
  <si>
    <t>Финансовое обеспечение составило 50-79,9%</t>
  </si>
  <si>
    <t>Финансовое обеспечение составило менее 50%</t>
  </si>
  <si>
    <t>3.</t>
  </si>
  <si>
    <t>4.</t>
  </si>
  <si>
    <t>Доля полученных средств на мероприятия программы из прочих (за исключением средств бюджета МО) источников</t>
  </si>
  <si>
    <t>Доля средств составила выше 30%</t>
  </si>
  <si>
    <t>Доля средств составила 10-29,9%</t>
  </si>
  <si>
    <t>Доля средств составила менее 10%</t>
  </si>
  <si>
    <t>5.</t>
  </si>
  <si>
    <t>Уровень фактического финансирования программы с утвержденным планом в бюджете с уточненным</t>
  </si>
  <si>
    <t>Уровень фактического финансирования программы в соответствии с кассовым планом</t>
  </si>
  <si>
    <t>Выполнение плановых сроков предоставления отчетов реализации программы</t>
  </si>
  <si>
    <t>Предоставление отчета в срок</t>
  </si>
  <si>
    <t>Предоставление отчета с опозданием</t>
  </si>
  <si>
    <t>для расчета результирующего оценочного показателя программы за _____________</t>
  </si>
  <si>
    <t>Наименование МП</t>
  </si>
  <si>
    <t>балл</t>
  </si>
  <si>
    <r>
      <t>=&gt; эффективную - при 80 &lt;= Э</t>
    </r>
    <r>
      <rPr>
        <vertAlign val="subscript"/>
        <sz val="10"/>
        <rFont val="Times New Roman"/>
        <family val="1"/>
        <charset val="204"/>
      </rPr>
      <t>кол.</t>
    </r>
    <r>
      <rPr>
        <sz val="10"/>
        <rFont val="Times New Roman"/>
        <family val="1"/>
        <charset val="204"/>
      </rPr>
      <t>&lt;= 100;</t>
    </r>
  </si>
  <si>
    <r>
      <t>=&gt; умеренно эффективную - при 60 &lt;= Э</t>
    </r>
    <r>
      <rPr>
        <vertAlign val="subscript"/>
        <sz val="10"/>
        <rFont val="Times New Roman"/>
        <family val="1"/>
        <charset val="204"/>
      </rPr>
      <t>кол.</t>
    </r>
    <r>
      <rPr>
        <sz val="10"/>
        <rFont val="Times New Roman"/>
        <family val="1"/>
        <charset val="204"/>
      </rPr>
      <t>&lt;= 80;</t>
    </r>
  </si>
  <si>
    <r>
      <t>=&gt; недостаточно эффективную - при 40 &lt;= Э</t>
    </r>
    <r>
      <rPr>
        <vertAlign val="subscript"/>
        <sz val="10"/>
        <rFont val="Times New Roman"/>
        <family val="1"/>
        <charset val="204"/>
      </rPr>
      <t>кол.</t>
    </r>
    <r>
      <rPr>
        <sz val="10"/>
        <rFont val="Times New Roman"/>
        <family val="1"/>
        <charset val="204"/>
      </rPr>
      <t>&lt;= 60;</t>
    </r>
  </si>
  <si>
    <r>
      <t>=&gt; неэффективную - при Э</t>
    </r>
    <r>
      <rPr>
        <vertAlign val="subscript"/>
        <sz val="10"/>
        <rFont val="Times New Roman"/>
        <family val="1"/>
        <charset val="204"/>
      </rPr>
      <t>кол.</t>
    </r>
    <r>
      <rPr>
        <sz val="10"/>
        <rFont val="Times New Roman"/>
        <family val="1"/>
        <charset val="204"/>
      </rPr>
      <t>&lt; 40.</t>
    </r>
  </si>
  <si>
    <t xml:space="preserve"> </t>
  </si>
  <si>
    <t>План</t>
  </si>
  <si>
    <t>Факт</t>
  </si>
  <si>
    <t>%</t>
  </si>
  <si>
    <t>ед</t>
  </si>
  <si>
    <t>Уменьшение просроченной задолженности от аренды имущества</t>
  </si>
  <si>
    <t>Проведение комплексных кадастровых работ</t>
  </si>
  <si>
    <t>кол.кварталов</t>
  </si>
  <si>
    <t>Наименование программы/подпрограммы/индикатора</t>
  </si>
  <si>
    <t>Единица измерения</t>
  </si>
  <si>
    <t>Охват ветеранов войны и тыла на улусных и республиканских мероприятиях</t>
  </si>
  <si>
    <t xml:space="preserve">Количество ликвидированных несанкционированных мест размещения отходов </t>
  </si>
  <si>
    <t>Посадка зеленых насаждений (цветы)</t>
  </si>
  <si>
    <t>Изготовление печатной продукции</t>
  </si>
  <si>
    <t xml:space="preserve">Количество выходов в СМИ (радио, тв, газета) </t>
  </si>
  <si>
    <t>Количество участников акции "Природа и мы"</t>
  </si>
  <si>
    <t>чел.</t>
  </si>
  <si>
    <t>Количество общественных инспекторов</t>
  </si>
  <si>
    <t>Развитие народного творчества и культурно- досуговой деятельности Горного улуса</t>
  </si>
  <si>
    <t>Увеличение количества участников клубных формирований</t>
  </si>
  <si>
    <t>ед. в год</t>
  </si>
  <si>
    <t>Количество занятых мастеров-умельцев Горного улуса в сфере народных художественных промыслов</t>
  </si>
  <si>
    <t>Развитие библиотечного дела</t>
  </si>
  <si>
    <t>Охват населения библиотечным обслуживанием</t>
  </si>
  <si>
    <t>Количество библиографических записей в сводном электронном каталоге библиотек РС(Я), в том числе включенные в Сводный каталог библиотек РС(Я)</t>
  </si>
  <si>
    <t>тыс.ед.</t>
  </si>
  <si>
    <t>Обновляемость книжного фонда  к общему фонду</t>
  </si>
  <si>
    <t>Доля оцифрованных документов краеведческой и локально-исторической тематики, от общего фонда соответствующего фонда</t>
  </si>
  <si>
    <t>Доля модельных библиотек из общего числа библиотек ЦБС (Региональные)</t>
  </si>
  <si>
    <t>Доля модельных библиотек из общего числа библиотек ЦБС (Российские)</t>
  </si>
  <si>
    <t xml:space="preserve">Количество отсканированных документов муниципального архива в год </t>
  </si>
  <si>
    <t>Доля предоставленных (во всех форматах) зрителю музейных предметов в общем количестве музейных предметов основного фонда</t>
  </si>
  <si>
    <t>Количество музейных предметов основного фонда, зарегестрированных в Государственном каталоге музейного фонда РФ, в год</t>
  </si>
  <si>
    <t>ед.</t>
  </si>
  <si>
    <t>Посещаемость музейных учреждений</t>
  </si>
  <si>
    <t>Выставочные проекты, осуществляемые на территории Горного улуса</t>
  </si>
  <si>
    <t>Проведение научных исследований, экспедиций и проектов</t>
  </si>
  <si>
    <t>Кол-во</t>
  </si>
  <si>
    <t>Внедрение современных аудио-визуальных технологий</t>
  </si>
  <si>
    <t>Доля оцифрованного фондового материала</t>
  </si>
  <si>
    <t>Увеличение основного и научно-вспомогательного фонда</t>
  </si>
  <si>
    <t>Сохранение и популяризация культурного наследия на территории Горного улуса</t>
  </si>
  <si>
    <t>памятники и объекты</t>
  </si>
  <si>
    <t>Доля земельных участков, оформленные под объектами культурного наследия (памятники)</t>
  </si>
  <si>
    <t>Доля объектов культурного наследия, поставленные на ГКН (государственная кадастровая недвижимость)</t>
  </si>
  <si>
    <t xml:space="preserve">Доля объектов культурного наследия, состояние которых является удовлетворительным </t>
  </si>
  <si>
    <t>Доля объектов культурного наследия, информация о которых внесена в электронную базу данных единого государственного реестра объектов культурного наследия (памятников истории и культуры) народов РФ, в общем количестве объектов культурного наследия</t>
  </si>
  <si>
    <t>№</t>
  </si>
  <si>
    <t>Обеспечение вхождения Горного улуса в число 10 ведущих улусов республики по качеству общего образования</t>
  </si>
  <si>
    <t>место</t>
  </si>
  <si>
    <t>15-10</t>
  </si>
  <si>
    <t>Отношение численности детей в возрасте до 3 лет, получающих дошкольное образование в текущем году к сумме численности детей в возрасте до 3 лет, получающих дошкольное образование в текущем году, и численности детей в возрасте до 3 лет, находящихся в очереди на получение в текущем году дошкольного образования</t>
  </si>
  <si>
    <t xml:space="preserve">Доля детей до 3 лет, посещающих дошкольные образовательные учреждения через консультативно-методические пункты </t>
  </si>
  <si>
    <t>Доля выпускников муниципальных общеобразовательных учреждений, получивших аттестат о среднем (полном) общем образовании</t>
  </si>
  <si>
    <t>Показатели среднего балла ЕГЭ по русскому языку</t>
  </si>
  <si>
    <t>Показатели среднего балла ЕГЭ по математике</t>
  </si>
  <si>
    <t>Показатели среднего балла ЕГЭ</t>
  </si>
  <si>
    <t>Показатели средней оценки ОГЭ</t>
  </si>
  <si>
    <t>оценка</t>
  </si>
  <si>
    <t>Доля выпускников, поступивших в вузы, в общей численности выпускников</t>
  </si>
  <si>
    <t>Доля выпускников, поступивших в ссузы, в общей численности выпускников, в том числе после 9 класса</t>
  </si>
  <si>
    <t>Доля выпускников, поступивших в вузы и ссузы технической направленности, в общей численности выпускников</t>
  </si>
  <si>
    <t>Число приглашенных регионального этапа Всероссийской оимпиады школьников</t>
  </si>
  <si>
    <t xml:space="preserve">Число победителей и призеров регионального этапа Всероссийской олимпиады школьников </t>
  </si>
  <si>
    <t>Число общеобразовательных организаций, в которых внедрены учебные планы с углубленным изучением отдельных предметов</t>
  </si>
  <si>
    <t>Число выпускников школ, награжденных серебряным знаком отличия</t>
  </si>
  <si>
    <t>Число выпускников школ, получивших 100 баллов по итогам сдачи ЕГЭ</t>
  </si>
  <si>
    <t>Число профильных классов по иностранному языку</t>
  </si>
  <si>
    <t>Число классов по гендерному принципу</t>
  </si>
  <si>
    <t>Число инновационных образовательных лагерей с участием ведущих школ республики, российских, международных школ нового поколения</t>
  </si>
  <si>
    <t xml:space="preserve">ед. </t>
  </si>
  <si>
    <t>Число образовательных организаций, укрепивших материально-техническую базу по агропрофилированную направлению</t>
  </si>
  <si>
    <t>2.2.1 Инклюзивное образование - равные возможности</t>
  </si>
  <si>
    <t>Доля детей с ограниченными возможностями здоровья, обучающихся на дому, в общей численности детей с ограниченными возможностями здоровья</t>
  </si>
  <si>
    <t>Доля педагогических работников, прошедших переподготовку или повышение квалификации по вопросам образования обучающихся с ограниченными возможностями здоровья и инвалидностью, в общей численности педагогических работников</t>
  </si>
  <si>
    <t>Доля детей дошкольного возраста, обучающихся по адаптированным образовательным программам</t>
  </si>
  <si>
    <t>Доля учителей, участвующих в инновационной деятельности</t>
  </si>
  <si>
    <t>Доля публикации учителей по результатам инновационной и экспериментальной деятельности</t>
  </si>
  <si>
    <t>2.2.3 Цифровая образовательная среда</t>
  </si>
  <si>
    <t>Доля образовательных организаций, в которых реализован проект цифровой образовательной среды</t>
  </si>
  <si>
    <t>Доля образовательных учреждений, обучающихся по программам подготовки (IT, высокотехнологичные производства)</t>
  </si>
  <si>
    <t>Число образовательных учебно-технологических комплексов (лабораторий, мастерских по современным направлениям естественно – научного образования)</t>
  </si>
  <si>
    <t>Число центров образования цифрового и гуманитарного профилей в рамках федерального проекта «Современная школа» национального проекта «Образование»</t>
  </si>
  <si>
    <t>Число обучающихся, охваченных основными и дополнительными общеобразовательными программами цифрового, естественно-научного и гуманитарного профилей</t>
  </si>
  <si>
    <t>Число образовательных центров компетенций по обучению школьников и взрослого населения по программам непрерывного образования</t>
  </si>
  <si>
    <t>Число обучающихся, ежегодно проходящих обучение по программам непрерывного образования в образовательных организациях среднего профессионального образования</t>
  </si>
  <si>
    <t>Создание организации среднего профессионального образования в с.Бердигестях</t>
  </si>
  <si>
    <t>Доля детей в возрасте от 5 до 18 лет, охваченных дополнительным образованием в общей численности обучающихся</t>
  </si>
  <si>
    <t>Доля детей в возрасте от 5 до 18 лет, охваченных дополнительным образованием технической направленности в общей численности обучающихся</t>
  </si>
  <si>
    <t xml:space="preserve">Число участников открытых онлайн-уроков, реализуемых с учетом опыта цикла открытых уроков «Проектория», «Уроки настоящего» </t>
  </si>
  <si>
    <t xml:space="preserve">Число участников улуса в региональном чемпионате по компетенциям WorldSkills
</t>
  </si>
  <si>
    <t>Число участников улусного конкурса разработчиков «Моя профессия IT»</t>
  </si>
  <si>
    <t xml:space="preserve">Число обучающихся, задействованных в детских общественных объединениях «Дьулуур», «Российское движение школьников»
</t>
  </si>
  <si>
    <t>Доля обучающихся в возрасте 6-18 лет, сдавших всероссийский физкультурно-спортивный комплекс «ГТО» на «золото», «серебро», «бронза»</t>
  </si>
  <si>
    <t>Доля детей в возрасте от 5 до 18 лет, занимающихся в секциях (кружках) спортивной направленности от общей численности обучающихся</t>
  </si>
  <si>
    <t>Количество победителей и призеров республиканских, региональных, всероссийских и международных спортивных соревнований из числа участников спортивных соревнований в рамках комплексной спартакиады учащихся</t>
  </si>
  <si>
    <t>Количество детей — членов (воспитанников) военно-патриотических (спортивных) клубов, зарегистрированных в АИС «Юнармия»</t>
  </si>
  <si>
    <t>Доля детей от 10 до 18 лет, состоящих в отрядах (объединениях) поддержки добровольчества (волонтерства) от общего числа обучающихся</t>
  </si>
  <si>
    <t>Доля руководителей, прошедших повышение квалификации и переподготовку в соответствии с требованиями профессионального стандарта в общей численности указанной категории</t>
  </si>
  <si>
    <t>Доля педагогических работников, прошедших повышение квалификации и переподготовку в соответствии с требованиями профессионального стандарта в общей численности педагогических работников</t>
  </si>
  <si>
    <t>Доля руководителей общеобразовательных организаций, проходивших аттестацию</t>
  </si>
  <si>
    <t>Доля учителей общеобразовательных   организаций, вовлеченных в национальную 
систему   профессионального роста 
педагогических работников</t>
  </si>
  <si>
    <t>Доля учителей общеобразовательных организаций, повысивших уровень профессионального мастерства в форматах непрерывного образования</t>
  </si>
  <si>
    <t>Доля   педагогических   работников, прошедших добровольную независимую 
оценку профессиональной квалификации</t>
  </si>
  <si>
    <t>Количество стажировочных площадок, 
отобранных для реализации  программ  непрерывного повышения профессионального 
мастерства педагогических работников</t>
  </si>
  <si>
    <t>Укомплектованность образовательных учреждений педагогическими кадрами</t>
  </si>
  <si>
    <t>Доля трудоустроившихся молодых специалистов и продолжающих работу в муниципальной системе образования в течение 3-х лет</t>
  </si>
  <si>
    <t>Доля  педагогических работников, получивших поощрение за подготвку выпускника-стобалльника по ЕГЭ</t>
  </si>
  <si>
    <t>Доля обучающихся 1-11 классов, охваченных отдыхом и оздоровлением, в общей численности обучающихся</t>
  </si>
  <si>
    <t>Доля детей, находящихся в трудной жизненной ситуации, охваченных отдыхом и оздоровлением, в общей численности указанных категорий детей</t>
  </si>
  <si>
    <t xml:space="preserve">Число стационарных организаций отдыха и оздоровления детей, в которых укреплена материально-техническая база </t>
  </si>
  <si>
    <t>Доля детей, обучающихся в первую смену, в общей численности обучающихся</t>
  </si>
  <si>
    <t>Количество новых зданий образовательных организаций, создаваемых путем строительства, приобретения и реконструкции образовательных организаций, в том числе по муниципально-частному партнерству</t>
  </si>
  <si>
    <t>Доля ветхих и аварийных зданий образовательных организаций, в общем количестве объектов образовательных организаций</t>
  </si>
  <si>
    <t>Количество оказанных социально-психологических услуг для молодых семей и молодежи в возрасте от 18 до 35 лет</t>
  </si>
  <si>
    <t>Количество профилактических мероприятий для несовершеннолетних и молодежи</t>
  </si>
  <si>
    <t>Количество реализованных мероприятий (проектов) по гражданско- патриотическому воспитанию молодежи</t>
  </si>
  <si>
    <t>Количество реализованных молодежных добровольческих мероприятий, акций (проектов)</t>
  </si>
  <si>
    <t>Удельный вес , прошедших обучение по охране труда, работников и работодателей от общего числа работников</t>
  </si>
  <si>
    <t>Проведение мероприятий по обучению для специалистов малого бизнеса</t>
  </si>
  <si>
    <t>Количество изданных (тиражированных) учебно-методических материалов</t>
  </si>
  <si>
    <t>Количество проведенных семинаров, круглых столов, совещаний</t>
  </si>
  <si>
    <t>Проведение медицинских осмотров работников</t>
  </si>
  <si>
    <t>Количество проверок организаций в Горном улусе</t>
  </si>
  <si>
    <t>Средний показатель МП</t>
  </si>
  <si>
    <t xml:space="preserve">Годовой объем ввода жилья, всего </t>
  </si>
  <si>
    <t>кв.м</t>
  </si>
  <si>
    <t>в т.ч. Многоквартирные дома</t>
  </si>
  <si>
    <t>ИЖС</t>
  </si>
  <si>
    <t>1. Реализация градостроительной  политики, развитие и освоение территорий</t>
  </si>
  <si>
    <t>1.1. Реализация градостроительной  политики</t>
  </si>
  <si>
    <t>Разработка генеральных планов МО</t>
  </si>
  <si>
    <t>Разработка правил землепользования и застройки МО</t>
  </si>
  <si>
    <t>Количество населенных пунктов,  обеспеченных проектами планировки и межевания территории</t>
  </si>
  <si>
    <t>Актуализация нормативов градостроительного проектирования</t>
  </si>
  <si>
    <t>1.2. Развитие и освоение территорий</t>
  </si>
  <si>
    <t>Удельный вес аварийного жилья к общему объему жилищного фонда</t>
  </si>
  <si>
    <t>2. Обеспечение граждан доступным и комфортным жильем</t>
  </si>
  <si>
    <t>2.1. Обеспечение жильем детей - сирот и детей оставшихся без попечения родителей</t>
  </si>
  <si>
    <t>Количество обеспеченных жилыми помещениями детей - сирот и детей оставшихся без попечения родителей</t>
  </si>
  <si>
    <t>2.2. Обеспечение жильем молодых семей</t>
  </si>
  <si>
    <t>Количество молодых семеи, получивших свидетельство о праве на получение социальной выплаты на приобретение (строительство) жилого помещения</t>
  </si>
  <si>
    <t>3. Модернизация объектов коммунальной инфраструктуры</t>
  </si>
  <si>
    <t>3.1. Развитие водоснабжения</t>
  </si>
  <si>
    <t>Разработка проектно - сметной документации объектов водоснабжения</t>
  </si>
  <si>
    <t>Строительство водоочистных станций (ВОС)</t>
  </si>
  <si>
    <t>3.2. Развитие водоотведения</t>
  </si>
  <si>
    <t>Строительство канализационно - очистной станций (КОС)</t>
  </si>
  <si>
    <t>3.3. Развитие теплоснабжения</t>
  </si>
  <si>
    <t>Разработка проектно - сметной документации объектов теплоснабжения и схемы теплоснабжения</t>
  </si>
  <si>
    <t>Строительство объектов теплоснабжения</t>
  </si>
  <si>
    <t>Протяженность сетей теплоснабжения</t>
  </si>
  <si>
    <t>м.</t>
  </si>
  <si>
    <t xml:space="preserve">Подключение частного сектора </t>
  </si>
  <si>
    <t>домовладений</t>
  </si>
  <si>
    <t>4. Развитие системы обращения с отходами производства и потребления</t>
  </si>
  <si>
    <t>4.1. Обустройство мест размещения отходов</t>
  </si>
  <si>
    <t>Обустройство мест размещения отходов</t>
  </si>
  <si>
    <t>Проектирование полигона твердых коммунальных отходов</t>
  </si>
  <si>
    <t>Рекультивация полигона твердых коммунальных отходов</t>
  </si>
  <si>
    <t>Устройство противопожарных минерализованных полос на территории полигонов твердых коммунальных отходов</t>
  </si>
  <si>
    <t>Общая протяженность автомобильных дорог общего пользования местного значения</t>
  </si>
  <si>
    <t>км.</t>
  </si>
  <si>
    <t>Протяженность автомобильных дорог общего пользования местного значения, не отвечающих нормативным требованиям</t>
  </si>
  <si>
    <t>Количество отремонтированных инженерных сооружений муниципальных автомобильных дорог</t>
  </si>
  <si>
    <t>Протяженность построенных автодорог муниципального значения</t>
  </si>
  <si>
    <t>Протяженность отремонтированных межпоселковых автодорог муниципального значения</t>
  </si>
  <si>
    <t>Развитие  животноводства</t>
  </si>
  <si>
    <t>Поголовье сельскохозяйственных животных</t>
  </si>
  <si>
    <t>Крупный рогатый скот</t>
  </si>
  <si>
    <t>гол.</t>
  </si>
  <si>
    <t>в том числе коровы</t>
  </si>
  <si>
    <t>Лошади</t>
  </si>
  <si>
    <t>в том числе кобылы</t>
  </si>
  <si>
    <t>Свиньи</t>
  </si>
  <si>
    <t>Птицы</t>
  </si>
  <si>
    <t>Осеменение КРС</t>
  </si>
  <si>
    <t>Производство продукции животноводства</t>
  </si>
  <si>
    <t>Производство мяса в живом весе</t>
  </si>
  <si>
    <t>тн</t>
  </si>
  <si>
    <t>Валовый надой молока</t>
  </si>
  <si>
    <t>Закуп молока</t>
  </si>
  <si>
    <t>кг</t>
  </si>
  <si>
    <t>Производство яиц</t>
  </si>
  <si>
    <t>тыс. штук</t>
  </si>
  <si>
    <t>Развитие растениеводства</t>
  </si>
  <si>
    <t>Увеличение урожайности сельскохозяйственных культур</t>
  </si>
  <si>
    <t>Посевная площадь сельхозкультур</t>
  </si>
  <si>
    <t>Картофель</t>
  </si>
  <si>
    <t>га</t>
  </si>
  <si>
    <t>Овощи открытого грунта</t>
  </si>
  <si>
    <t>Овощи закрытого грунта</t>
  </si>
  <si>
    <t>Валовый сбор сельхозкультур</t>
  </si>
  <si>
    <t>цн</t>
  </si>
  <si>
    <t>Урожайность сельхозкультур</t>
  </si>
  <si>
    <t>цн/га</t>
  </si>
  <si>
    <t>Заготовка грубых кормов</t>
  </si>
  <si>
    <t>Сено</t>
  </si>
  <si>
    <t>Сенаж</t>
  </si>
  <si>
    <t>Развитие кормопроизводства</t>
  </si>
  <si>
    <t>Приоретение семян под посев кормовых культур</t>
  </si>
  <si>
    <t>Сохранение отрасли звероводства</t>
  </si>
  <si>
    <t>голов</t>
  </si>
  <si>
    <t>Развитие пищевой и перерабатывающей промышленности</t>
  </si>
  <si>
    <t>Основная цель  - развитие пищевой и перерабатывающей промышленности</t>
  </si>
  <si>
    <t>Увеличение объема производства хлеба и хлебобулочных изделий к 2022 году до 767,5 тонн</t>
  </si>
  <si>
    <t>Производство хлеба и хлебобулочных изделий</t>
  </si>
  <si>
    <t>Молочная промышленность</t>
  </si>
  <si>
    <t>Производство цельномолочной продукции (в пересчете на молоко)</t>
  </si>
  <si>
    <t>Производство масла сливочного</t>
  </si>
  <si>
    <t>Мясная продукция</t>
  </si>
  <si>
    <t>Полуфабрикаты мясные (мясосодержащие) охлажденные, подмороженные и замороженные</t>
  </si>
  <si>
    <t>Цель- организация и совершенствование системы управления муниципальной собственностью, земельными ресурсами</t>
  </si>
  <si>
    <t>Подпрограмма №1 Управление имуществом</t>
  </si>
  <si>
    <t>Задача №1 «Формирование, учет и мониторинг мун. собственности»</t>
  </si>
  <si>
    <t>Количество объектов, зарегистрированных в собственность МР «Горный улус»</t>
  </si>
  <si>
    <t>Задача №2 «Управление муниципальным имуществом»</t>
  </si>
  <si>
    <t>Выполнение плана доходов от сдачи в аренду муниципального имущества</t>
  </si>
  <si>
    <t>Подпрограмма №2 Управление земельными ресурсами</t>
  </si>
  <si>
    <t>Задача №1 «Формирование муниципальной собственности на землю»</t>
  </si>
  <si>
    <t>Количество земельных участков, зарегистрированных в собственность муниципального района</t>
  </si>
  <si>
    <t xml:space="preserve">Задача №2 «Эффективное управление, владение, пользование и распоряжение земельными участками
и распоряжение ЗУ»
</t>
  </si>
  <si>
    <t>Выполнение плана доходов от сдачи в аренды неразграниченных земельных участков муниципального имущества</t>
  </si>
  <si>
    <t>Увеличение фонда перераспределения земель сх назначения</t>
  </si>
  <si>
    <t>Уменьшение просроченной задолженности от аренды неразраниченных земель</t>
  </si>
  <si>
    <t>Задача №3 «Обеспечение рационального использования территорий поселений</t>
  </si>
  <si>
    <t>Развитие предпринимательства в Горном улусе</t>
  </si>
  <si>
    <t>Количество субъектов малого и среднего предпринимательства</t>
  </si>
  <si>
    <t>Объем налоговых поступлений по специальным режимам налогообложения</t>
  </si>
  <si>
    <t>тыс. руб</t>
  </si>
  <si>
    <t>Количество субъектов малого и среднего предпринимательства получивших финансовую поддержку</t>
  </si>
  <si>
    <t>Количество объектов имущества в Перечне муниципального имущества</t>
  </si>
  <si>
    <t>Доля заключенных договоров аренды по отношению к общему количеству имущества в Перечне муниципального имущества</t>
  </si>
  <si>
    <t>Доля занятых в малом бизнесе от общего числа занятых в экономике</t>
  </si>
  <si>
    <t>Развитие туризма</t>
  </si>
  <si>
    <t>Количество посетивших Горный улус туристов</t>
  </si>
  <si>
    <t>Объем туристских услуг</t>
  </si>
  <si>
    <t>Формирование единого пространства электронного взаимодействия органов государственной власти и органов местного самоуправления,и повышение качества предоставления муниципальных услуг на основе использования информационных и телекоммуникационных технологий</t>
  </si>
  <si>
    <t>Доля электронного документооборота между ОМСУ  в общем объеме документооборота</t>
  </si>
  <si>
    <t>Доля граждан, использующих механизм получения услуг в электронной форме</t>
  </si>
  <si>
    <t>Обеспечение наибольшей открытости информации об органах местного самоуправления МР «Горный улус»  и информирование населения о деятельности органов местного самоуправления МР «Горный улус», формирование позитивного имиджа органов местного самоуправления МР «Горный улус"</t>
  </si>
  <si>
    <t>Количество размещенных телепередач с участием представителей Администрации МР, (прямой эфир, новостные выпуски, информационные передачи)</t>
  </si>
  <si>
    <t>Количество размещенных программ на радиоканале «Дабаан»</t>
  </si>
  <si>
    <t xml:space="preserve">Количество опубликованных материалов, пресс-релизов (информаций в год)  Администрации МР «Горный улус» </t>
  </si>
  <si>
    <t>Количество проведенных конкурсов журналистского мастерства в год</t>
  </si>
  <si>
    <t>Доля МО, принявших участие в реализации программы развития муниципальной службы</t>
  </si>
  <si>
    <t xml:space="preserve">Удельный вес муниципальных служащих с образованием «Государственное и муниципальное управление»      </t>
  </si>
  <si>
    <t>Количество муниципальных служащих, прошедших курсы повышения квалификации</t>
  </si>
  <si>
    <t>Количество муниципальных служащих, прошедших аттестацию</t>
  </si>
  <si>
    <t>Цель - улучшение условий охраны труда в целях снижения производственного травматизма и профессиональной заболеваемости работников организаций расположенных на территории МР "Горный улус"</t>
  </si>
  <si>
    <t>Специальная оценка условий труда работающих в организациях, раположенных на территории Горного улуса</t>
  </si>
  <si>
    <t>Удельный вес рабочих мест, на которых проведена аттестация рабочих мест по условиям труда (% от общего количества рабочих мест в Горном улусе)</t>
  </si>
  <si>
    <t>Непрерывная подготовка работников по охране труда. Повышение уровня профессиональных компетенций специалистов</t>
  </si>
  <si>
    <t>Информационное обеспечение и пропаганда охраны труда</t>
  </si>
  <si>
    <t>Управление профессиональными рисками</t>
  </si>
  <si>
    <t>Цель - Повышение качества жизни людей старшего возраста</t>
  </si>
  <si>
    <t>Количество детей войны, получивших поддержку в течении реализации муниципальной программы</t>
  </si>
  <si>
    <t>Доля лиц с ограниченными возможностями здоровья и инвалидов вовлеченных в проводимых мероприятиях по социализации в сбществе</t>
  </si>
  <si>
    <t>Доля доступных для инвалидов и других маломобильных групп населения приоритетных объектов социальной инфраструктуры</t>
  </si>
  <si>
    <t>Цель - Поддержка, укрепление и защита семьи и ценностей семейной жизни, создание необходимых условий для выполнения семьей ее функций</t>
  </si>
  <si>
    <t>Планирование семьи</t>
  </si>
  <si>
    <t>Коэффициент естественного прироста</t>
  </si>
  <si>
    <t>Коэффициент устойчивости браков</t>
  </si>
  <si>
    <t>Доля детей, охваченных курсом "Азбука семьи" из числа старшеклассников</t>
  </si>
  <si>
    <t xml:space="preserve">Укрепление института семьи </t>
  </si>
  <si>
    <t>Количество мероприятий, направленных на развитие духовно-нравственных традиций семейных отношений</t>
  </si>
  <si>
    <t>Количество мероприятий по пропаганде ЗОЖ</t>
  </si>
  <si>
    <t>Повышение качества жизни малоимущих семей</t>
  </si>
  <si>
    <t>Доля малоимущих семей, состоящих в реестре особо нуждающихся семей, из общего числа семей</t>
  </si>
  <si>
    <t xml:space="preserve">Количество граждан старше 18 лет, получивших психологическую услугу по программе "Социализация личности" </t>
  </si>
  <si>
    <t>1. Профилактика безнадзорности и правонарушений несовершеннолетних</t>
  </si>
  <si>
    <t>2. Профилактика безнадзорности и правонарушений несовершеннолетних</t>
  </si>
  <si>
    <t>Доля молодежи в возрасте от 14 до 35 лет организованные общественными формированиями, реализующие социально-значимые проекты</t>
  </si>
  <si>
    <t>Формирование и координация патриотического воспитания молодежи</t>
  </si>
  <si>
    <t>Развитие добровольчества (волонтерства)</t>
  </si>
  <si>
    <t>Увеличение доли населения Горного улуса, систематически занимающегося физической культурой и спортом (%)</t>
  </si>
  <si>
    <t>Доля лиц с ограниченнными возможностями здоровья и инвалидов, систематически занимающихся физической культурой и спортом, в общей численности данной категории населения (%)</t>
  </si>
  <si>
    <t>Количество медалей, завоеванных спортсменами Горного улуса на официальных спортивных мероприятиях (Чемпионаты и Первенства РС(Я), России, Европы и Мира)</t>
  </si>
  <si>
    <t xml:space="preserve">Доля граждан, систематически занимающихся национальными видами спорта РС(Я), в общей численности населения  </t>
  </si>
  <si>
    <t xml:space="preserve">Уровень обеспеченности населения спортивными сооружениями исходя из единовременной пропускной способности объектов спорта (спортивные объекты, спортзалы, плоскостные сооружения и т.д.)                                       </t>
  </si>
  <si>
    <t>Участие коллективов, мастеров – ремесленников в фестивалях, конкурсах, выставках российского, международного уровней (очное)</t>
  </si>
  <si>
    <t>Развитие музейного дела в Горном улусе</t>
  </si>
  <si>
    <t>исторические места</t>
  </si>
  <si>
    <t>Поисково-исследовательская работа по выявлению исторических, памятных мест Горного улуса</t>
  </si>
  <si>
    <t>археологические места</t>
  </si>
  <si>
    <t xml:space="preserve">Научно-исследовательские экспедиции 
по выявлению мест нахождения ОКН по разделу «Археология» 
</t>
  </si>
  <si>
    <t>Цель -Формирование открытого комфортного образовательного пространства для развития человеческого потенциала</t>
  </si>
  <si>
    <t xml:space="preserve">Развитие образования муниципального района "Горный улус" </t>
  </si>
  <si>
    <t>№2 Совершенствование общего образования</t>
  </si>
  <si>
    <t>2.1 Создание условий для развития дошкольного образования в соответствии с федеральными государственными стандартами дошкольного образования</t>
  </si>
  <si>
    <t>2.2 Создание условий для обеспечения качественного общего образования в соответствии с федеральными государственными образовательными стандартами общего образования.</t>
  </si>
  <si>
    <t>2.2.2 Внедрение ФГОС ООО в условиях инновационной деятельности образовательных организаций</t>
  </si>
  <si>
    <t xml:space="preserve"> 2.3 Реализация проекта "Современная школа" в рамках национального проекта "Образование"</t>
  </si>
  <si>
    <t>2.4 Реализация проекта "Новые возможности для каждого" в рамках национального проекта "Образование"</t>
  </si>
  <si>
    <t>№ 3 "Воспитание и дополнительное образование детей"</t>
  </si>
  <si>
    <t>3.1 Обеспечение доступного дополнительного образования детей</t>
  </si>
  <si>
    <t>3.2 Совершенствование содержания образовательных программ дополнительного образования детей</t>
  </si>
  <si>
    <t>№ 4 "Повышение профессионального мастерства кадров"</t>
  </si>
  <si>
    <t>4.1 Повышение профессионального уровня педагогических и руковдящих кадров</t>
  </si>
  <si>
    <t>4.2 Реализация проекта "Учитель будущего"  в рамках национального проекта "Образование"</t>
  </si>
  <si>
    <t>4.3 Подготовка кадров в сфере образования</t>
  </si>
  <si>
    <t>№ 5 "Отдых и оздоровление детей"</t>
  </si>
  <si>
    <t>5.1 Обеспечение организации отдыха, оздоровления и занятости детей в каникулярное время</t>
  </si>
  <si>
    <t>5.2 Расширение сети стационарных лагерей и их материально-технической базы</t>
  </si>
  <si>
    <t>№ 6 "Создание условий для развития инфраструктуры системы образования улуса"</t>
  </si>
  <si>
    <t>6.1 Строительство, приобретение, реконструкция и ремонт объектов образования</t>
  </si>
  <si>
    <t>Цель- улучшение экологической  ситуации в улусе</t>
  </si>
  <si>
    <t>Установка баннеров</t>
  </si>
  <si>
    <t>Посадка зеленых насаждений (деревьев)</t>
  </si>
  <si>
    <t>Посадка зеленых насаждений (кустарники)</t>
  </si>
  <si>
    <t>Плата за негативное воздействие на окружающую среду</t>
  </si>
  <si>
    <t>Взимание штрафов</t>
  </si>
  <si>
    <t>1. Совершенствование программно-целевых методов управления бюджетным процессом с учетом муниципальных программ</t>
  </si>
  <si>
    <t>Повышение эффективности муниципальных программ</t>
  </si>
  <si>
    <t>2. Формирование условий для обеспечения долгосрочной устойчивости и сбалансированности местных бюджетов</t>
  </si>
  <si>
    <t>Оценка платежеспособности и качества управления финансами муниципального района</t>
  </si>
  <si>
    <t>Высокий/низкий</t>
  </si>
  <si>
    <t>Высокий</t>
  </si>
  <si>
    <t xml:space="preserve"> высокий</t>
  </si>
  <si>
    <t>Оценка платежеспособности и качества управления финансами сельских поселений</t>
  </si>
  <si>
    <t>Да/нет</t>
  </si>
  <si>
    <t>да</t>
  </si>
  <si>
    <t>Уменьшение необоснованной текущей кредиторской и дебиторской задолженности муниципальных учреждений и сельских поселений</t>
  </si>
  <si>
    <t>3. Повышение эффективности управления доходами муниципальных образований</t>
  </si>
  <si>
    <t>Снижение недоимки по неналоговым платежам в консолидированный бюджет муниципального района на начало года от уровня прошлого года</t>
  </si>
  <si>
    <t>да/нет</t>
  </si>
  <si>
    <t>Снижение недоимки по налоговым платежам в консолидированный бюджет муниципального района на начало года от уровня прошлого года</t>
  </si>
  <si>
    <t xml:space="preserve">4. Оптимизация и повышение эффективности бюджетных расходов  </t>
  </si>
  <si>
    <t>Разработка методики оценки бюджетного эффекта (экономия, дополнительные расходы) от проведенных мероприятий по усовершенствованию системы муниципальной поддержки реального сектора экономики</t>
  </si>
  <si>
    <t>нет</t>
  </si>
  <si>
    <t>5. Создание условий для развития внутреннего муниципального финансового контроля и аудита, контроля в сфере закупок</t>
  </si>
  <si>
    <t>Соотношение объема проверенных средств местного бюджета и общей суммы расходов местного бюджета при осуществлении внутреннего муниципального финансового контроля</t>
  </si>
  <si>
    <t>&gt; 20</t>
  </si>
  <si>
    <t>Охват главных администраторов бюджетных средств анализом внутреннего финансового контроля и внутреннего финансового аудита</t>
  </si>
  <si>
    <t>&gt;5</t>
  </si>
  <si>
    <t>будут внесены изменения в связи изменением бюджетного законодательства</t>
  </si>
  <si>
    <t>Охват муниципальных заказчиков анализом по контролю в сфере закупок</t>
  </si>
  <si>
    <t>&gt;3</t>
  </si>
  <si>
    <t>6. Обеспечение открытости и прозрачности управления муниципальными финансами</t>
  </si>
  <si>
    <t>Разработка механизмов взаимодействия ОМСУ и общества, обеспечивающих повышение финансовой грамотности населения и информированности</t>
  </si>
  <si>
    <t>7. Развитие механизма инициативного бюджетирования</t>
  </si>
  <si>
    <t>Количество вовлеченных в программу развития инициативного бюджетирования муниципалитетов</t>
  </si>
  <si>
    <t>Реализация проектов по механизмам инициативного бюджетирования (процент реализованных проектов от поданных заявок)</t>
  </si>
  <si>
    <t>8. Создание условий для развития информационной среды и технологий, необходимых для управления бюджетным процессом</t>
  </si>
  <si>
    <t>Доля учетных функций экономических субъектов, включенных в функциональные требования к единой централизованной информационной системе учета и отчетности</t>
  </si>
  <si>
    <t>Доля общего числа экономических субъектов, использующих для выполнения учетных функций «облачную» технологию учета и отчетности</t>
  </si>
  <si>
    <t>Цель-Развитие системы газоснабжения в соответствии с потребностями жилищного и общественно-делового строительства Горного улуса</t>
  </si>
  <si>
    <t>Количество газифицированных населенных пунктов улуса</t>
  </si>
  <si>
    <t>Количество котельных в населенных пунктах улуса переведенных на газовое топливо</t>
  </si>
  <si>
    <t>Протяженность построенных внутрипоселковых газовых сетей</t>
  </si>
  <si>
    <t>Количество домовладений, получивших возможность подключиться к сетям газоснабжения, за отчетный период</t>
  </si>
  <si>
    <t>Количество разработанных схем газоснабжения населенных пунктов улуса</t>
  </si>
  <si>
    <t xml:space="preserve">Цель-Сохранение доли сельского населения в общей численности населения Республики Саха (Якутия); Достижение соотношения среднемесячных располагаемых ресурсов сельского и городского домохозяйств до 80 процентов в 2025 году; Повышение доли общей площади благоустроенных жилых помещений в сельских населенных пунктах до 10 процентов в 2025 году.
</t>
  </si>
  <si>
    <t>Сохранение доли сельского населения в общей численности населения Республики Саха (Якутия)</t>
  </si>
  <si>
    <t>Достижение соотношения среднемесячных располагаемых ресурсов сельского населения и городских домохозяйств</t>
  </si>
  <si>
    <t>№1 «Создание условий для обеспечения доступным и комфортным жильем сельского населения»</t>
  </si>
  <si>
    <t>Ввод (приобретение) жилых помещений (жилых домов) для граждан, проживающих на сельских территориях</t>
  </si>
  <si>
    <t xml:space="preserve"> тыс.кв.м</t>
  </si>
  <si>
    <t>Ввод жилых помещений (жилых домов), предоставляемых на условиях найма гражданам, проживающим на сельских серриториях</t>
  </si>
  <si>
    <t xml:space="preserve"> №2 «Создание н развитие инфраструктуры на сельских территориях»</t>
  </si>
  <si>
    <t>№2.1. Современный облик сельских территорий</t>
  </si>
  <si>
    <t xml:space="preserve">Количество реализованных проектов комплексного развития муниципального образования(сельских территорий или сельских агломераций) </t>
  </si>
  <si>
    <t xml:space="preserve">Количество реализованных проектов комплексного развития сельских территорий или сельских агломераций (объекты капитального строительства) </t>
  </si>
  <si>
    <t xml:space="preserve">Количество реализованных проектов комплексного развития сельских территорий или сельских агломераций (мероприятия) </t>
  </si>
  <si>
    <t>Наименование мероприятий</t>
  </si>
  <si>
    <t>Итого</t>
  </si>
  <si>
    <t>ФБ</t>
  </si>
  <si>
    <t>РБ</t>
  </si>
  <si>
    <t>МР</t>
  </si>
  <si>
    <t>МО</t>
  </si>
  <si>
    <t>ВБ</t>
  </si>
  <si>
    <t>Развитие и освоение территорий</t>
  </si>
  <si>
    <t>Обеспечение граждан доступным и комфортным жильем</t>
  </si>
  <si>
    <t xml:space="preserve"> Обеспечение жилыми помещениями детей-сирот и детей, оставшихся без попечения родителей</t>
  </si>
  <si>
    <t xml:space="preserve"> Обеспечение жильем молодых семей</t>
  </si>
  <si>
    <t xml:space="preserve"> Модернизация объектов коммунальной инфраструктуры</t>
  </si>
  <si>
    <t>Развитие водоснабжения</t>
  </si>
  <si>
    <t>Развитие водоотведения</t>
  </si>
  <si>
    <t>.Развитие теплоснабжения</t>
  </si>
  <si>
    <t>Инженерные сооружения муниципальных автомобильных дорог</t>
  </si>
  <si>
    <t>Строительство, проектирование и ремонт муниципальных автомобильных дорог</t>
  </si>
  <si>
    <t>Специальная оценка условий труда работающих в организациях, расположенных на территории Горного улуса</t>
  </si>
  <si>
    <t xml:space="preserve">Проведение специальной оценки условий труда, улучшение условий труда в организациях
</t>
  </si>
  <si>
    <t xml:space="preserve">Непрерывная подготовка работников по охране труда </t>
  </si>
  <si>
    <t>Выезды по обмену опытом по внедрению современных средств безопасности труда и улучшению условий труда работников, тиражирование лучших практик в сфере охраны труда</t>
  </si>
  <si>
    <t>Обучение руководителей и  работников организаций в области охраны труда. Организация и проведение  семинаров по охране труда</t>
  </si>
  <si>
    <t>Организация и проведение конкурсов на лучшую организацию и лучшего специалиста по охране труда</t>
  </si>
  <si>
    <t xml:space="preserve">Обеспечение работников средствами индивидуальной и коллективной защиты        </t>
  </si>
  <si>
    <t>Проведение  медицинских осмотров работников</t>
  </si>
  <si>
    <t>Оказание поддержки семей при рождении ребенка</t>
  </si>
  <si>
    <t xml:space="preserve"> Укрепление института семьи</t>
  </si>
  <si>
    <t>Повышение   роли   семьи   в патриотическом воспитании подрастающего поколения, выражение общественного признания заслуг семьи</t>
  </si>
  <si>
    <t>Организация и проведение улусных, республиканских мероприятий посвященных укреплению института семьи. Поддержка Совета отцов и женсовета Горного улуса</t>
  </si>
  <si>
    <t>Поддержка клубов Ассоциации приемных родителей. Профилактика социального сиротства</t>
  </si>
  <si>
    <t xml:space="preserve">Укрепление общественного здоровья </t>
  </si>
  <si>
    <t xml:space="preserve">Проведение мероприятий, направленное на укрепление общественного здоровья  </t>
  </si>
  <si>
    <t>Финансовое просвещение населения</t>
  </si>
  <si>
    <t>Организация  и проведение благотворительных акций, субботников, соревнований в помощь многодетным и малообеспеченным семьям</t>
  </si>
  <si>
    <t>Социальная защита прав и интересов старшего поколения</t>
  </si>
  <si>
    <t>Улучшение жилищных условий детям войны</t>
  </si>
  <si>
    <t>Денежные выплаты участникам ВОВ, вдовам в связи с празднованием Дня Победы.</t>
  </si>
  <si>
    <t>Предоставление льгот Почетным гражданам Горного улуса на подписку улусной газеты "Улэ Кууьэ"</t>
  </si>
  <si>
    <t>Мероприятия ко Дню Победы - 9 мая. День пожилых</t>
  </si>
  <si>
    <t>Активное долголетие</t>
  </si>
  <si>
    <t>Поддержка долгожителей</t>
  </si>
  <si>
    <t>Поддержка общественных организаций ветеранов (Совет ветеранов, Школа третьего возраста 50+)</t>
  </si>
  <si>
    <t>Организация мероприятий, направленная на повышение социальной активности граждан старшего поколения</t>
  </si>
  <si>
    <t>Обеспечивающая программа</t>
  </si>
  <si>
    <t>Предоставление субсидий на поддержку СО НКО, деятельность которых направлена на реализацию социальных проектов</t>
  </si>
  <si>
    <t>Стимулирование активности граждан</t>
  </si>
  <si>
    <t>Повышение квалификации кадров СО НКО И ТОС</t>
  </si>
  <si>
    <t>Распространение лучших практик</t>
  </si>
  <si>
    <t>Повышение уровня физической доступности объектов социальной инфраструктуры</t>
  </si>
  <si>
    <t>Обеспечение доступности приоритетных объектов и услуг в приоритетных сферах жизнедеятельности инвалидов и других маломобильных групп населения</t>
  </si>
  <si>
    <t>Поддержка общественных организаций инвалидов</t>
  </si>
  <si>
    <t>Улусный конкурс «Лучший класс года»</t>
  </si>
  <si>
    <t>Информационно-наглядные материалы по профилактике безнадзорности и правонарушений несовершеннолетних (социальные видеоролики, баннеры, буклеты итд)</t>
  </si>
  <si>
    <t>Мероприятия, направленные на профилактику правонарушений и безнадзорности несовершеннолетних</t>
  </si>
  <si>
    <t xml:space="preserve">Мероприятия, направленные на снижение семейного неблагополучия </t>
  </si>
  <si>
    <t>Информационно-наглядные материалы по профилактике преступлений, ДТП, пропаганде ЗОЖ (социальные видеоролики, баннеры, буклеты итд)</t>
  </si>
  <si>
    <t>Управление программой</t>
  </si>
  <si>
    <t>Приобретение и сопровождение сертифицированного программного обеспечения для организации защищенного обмена информациейАнтивирус Dr-Web</t>
  </si>
  <si>
    <t>Оказание информационных услуг по подготовке, размещению материалов (сюжетов, телепередач, репортажей, роликов, объявлений), освещающих вопросы деятельности Администрации МР “Горный улус»</t>
  </si>
  <si>
    <t>Оказание услуг по размещению в печатном издании муниципальных правовых актов, подлежащих официальному опубликованию, объявлений, некрологов, соболезнований, информационных материалов администрации муниципального района «Горный улус»</t>
  </si>
  <si>
    <t>Публикация объявлений, некрологов, соболезнований в республиканских газетах, изготовление  и показ роликов,  объявлений на республиканском телерадиовещании НВК «Саха»</t>
  </si>
  <si>
    <t>Освещение деятельности МР «Горный улус» в радиоэфире на радиоканале «Дабаан»</t>
  </si>
  <si>
    <t>Изготовление информационных стендов, баннеров</t>
  </si>
  <si>
    <t>Подготовка и издание сборника НПА "Муниципальный вестник"</t>
  </si>
  <si>
    <t>Оплата фотоуслуги</t>
  </si>
  <si>
    <t>Улусный конкурс для СМИ, общественных корреспондентов</t>
  </si>
  <si>
    <t>Развитие предпринимательства</t>
  </si>
  <si>
    <t>Предоставление микрозаймов субъектам малого предпринимательства на срок до трех лет</t>
  </si>
  <si>
    <t xml:space="preserve"> Популяризация предпринимательства, формирование положительного образа предпринимателя</t>
  </si>
  <si>
    <t>Руководство и управление в сфере установленныхфункций</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</si>
  <si>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</si>
  <si>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Укрепление материально-технической базы и оснащения кабинета, ТО и страховые выплаты автомобиля, ГСМ</t>
  </si>
  <si>
    <t>Развитие массового спорта</t>
  </si>
  <si>
    <t>Проведение спортивно-массовых мероприятий</t>
  </si>
  <si>
    <t>Участие на официальных Республиканских, Всероссийских и международных соревнованиях</t>
  </si>
  <si>
    <t>Развитие национальных видов спорта</t>
  </si>
  <si>
    <t>Проведение спортивно-массовых мероприятий по национальным видам спорта</t>
  </si>
  <si>
    <t>Подготовка и участие сборной команды Горного улуса на Спартакиаде по национальным видам спорта</t>
  </si>
  <si>
    <t>Развитие адаптивной физкультуры и спорта для лиц с ОВЗ</t>
  </si>
  <si>
    <t>Развитие спорта высших достижений</t>
  </si>
  <si>
    <t>Стимулирование спортсменов, денежные выплаты для учебно-тренировочного процесса и участия на соревнованиях</t>
  </si>
  <si>
    <t>Денежные вознаграждения спортсменам, достигших высоких результатов</t>
  </si>
  <si>
    <t>Поддержка деятельности Горного филиала ГБУ РС (Я)"ЦСППМ РС (Я)"</t>
  </si>
  <si>
    <t>Поддержка молодежных общественных объединений, молодых специалистов</t>
  </si>
  <si>
    <t>Поддержка мероприятий молодежных общественных объединений Горного улуса</t>
  </si>
  <si>
    <t>Стимулирование молодежи добившейся высоких результатов  за научно-исследовательскую деятельность</t>
  </si>
  <si>
    <t>Учреждение ежегодной единовременной стипендии имени С.П. Данилова  лучшим студентам Горного улуса</t>
  </si>
  <si>
    <t>Поддержка молодых семей</t>
  </si>
  <si>
    <t>Ежегодный улусный семейный форум "Семья - опора счастья" (вручение жилищных сертификатов участникам ОЖМС)</t>
  </si>
  <si>
    <t>Конкурс на предоставление  субсидий из бюджета муниципального района "Горный улус» Республики Саха (Якутия) на реализацию мероприятий, направленных патриотическому воспитанию молодежи</t>
  </si>
  <si>
    <t>Улусный фестиваль достижений: премия за патриотизм "Модун санаа" номинация "Доброволец Горного улуса", номинация "Лучшая молодежная инициатива"</t>
  </si>
  <si>
    <t>Улусный образовательный форум для добровольческих и молодежных общественных организаций улуса (развитие добровольческого движения)</t>
  </si>
  <si>
    <t>Формирование, учет и мониторинг муниципальной собственности</t>
  </si>
  <si>
    <t>Формирование муниципальной собственности на объекты капитального строительства (техническая инвентаризация)</t>
  </si>
  <si>
    <t>Учет муниципального имущества, в том числе проведение оценочных работ</t>
  </si>
  <si>
    <t>Страхование объектов, находящихся в казне</t>
  </si>
  <si>
    <t>Формирование  муниципальной собственности на землю</t>
  </si>
  <si>
    <t>Формирование муниципальной собственности на земельные участки (кадастровые работы)</t>
  </si>
  <si>
    <t>Обеспечение рационального использования территорий поселений</t>
  </si>
  <si>
    <t xml:space="preserve">Оптимизация и повышение эффективности бюджетных расходов  </t>
  </si>
  <si>
    <t>Управление в сфере установленных функций</t>
  </si>
  <si>
    <t>Создание условий для развития информационной среды и технологий, необходимых для управления бюджетным процессом</t>
  </si>
  <si>
    <t>Мероприятия по повышению качества управления финансами</t>
  </si>
  <si>
    <t>Газификация населенных пунктов Горного улуса (проектирование и строительство)</t>
  </si>
  <si>
    <t>Перевод на газовое топливо котельных населенных пунктов Горного улуса</t>
  </si>
  <si>
    <t>Автономная газификация с.Магарас Горного улуса</t>
  </si>
  <si>
    <t>Разработка схем газоснабжения населенных пунктов Горного улуса</t>
  </si>
  <si>
    <t>Газификация новых жилых кварталов в ранее газифицированных населенных пунктах Горного улуса</t>
  </si>
  <si>
    <t>Развитие животноводства</t>
  </si>
  <si>
    <t>Поддержка скотоводства</t>
  </si>
  <si>
    <t>Поддержка производства и переработки мясной продукции</t>
  </si>
  <si>
    <t>субсидия на заготовку мяса</t>
  </si>
  <si>
    <t>Поддержка на возмещение затрат производства и переработки продукции скотоводства</t>
  </si>
  <si>
    <t>Развитие табунного коневодства</t>
  </si>
  <si>
    <t>Поддержка табунного коневодства</t>
  </si>
  <si>
    <t>Финансовое обеспечение (возмещение) части затрат по производству кобыльего молока</t>
  </si>
  <si>
    <t>Поддержка производства картофеля</t>
  </si>
  <si>
    <t>Поддержка производства овощей открытого грунта</t>
  </si>
  <si>
    <t>Развитие Кормопроизводства</t>
  </si>
  <si>
    <t>Приобретение сельскохозяйственной техники</t>
  </si>
  <si>
    <t>Финансовое обеспечение (возмещение) затрат на строительство изгороди</t>
  </si>
  <si>
    <t>Строительство силосных ям, восстановление заброшенных пашен</t>
  </si>
  <si>
    <t>Коренное улучшение лугов, поверхностное улучшение лугов (Приобретение семян под посев кормовых культур)</t>
  </si>
  <si>
    <t>Строительство и модернизация животноводческих объектов, совершенствование технологии производства продукции животноводства</t>
  </si>
  <si>
    <t>Строительство коровников</t>
  </si>
  <si>
    <t>Развитие традиционных отраслей Севера</t>
  </si>
  <si>
    <t>Стимулирование отрасли звероводства</t>
  </si>
  <si>
    <t>Финансовое обеспечение (возмещение) затрат по содержанию звероводческих хозяйств</t>
  </si>
  <si>
    <t>Регулирование численности волков</t>
  </si>
  <si>
    <t>Финансовое обеспечение (возмещение) затрат на регулирование численности волков</t>
  </si>
  <si>
    <t>Содержание МКУ "УСХ МР "Горный улус"</t>
  </si>
  <si>
    <t>Фонд оплаты труда специалистов с отчислениями</t>
  </si>
  <si>
    <t>Муниципальные мероприятия</t>
  </si>
  <si>
    <t>Содержание ведущего специалиста</t>
  </si>
  <si>
    <t>Фонд оплаты труда ведущего специалиста с отчислениями</t>
  </si>
  <si>
    <t>Транспортные расходы</t>
  </si>
  <si>
    <t>Приобретение материальных запасов (ГСМ, запчасти)</t>
  </si>
  <si>
    <t>Аренда гаража (имущества)</t>
  </si>
  <si>
    <t>Прочие затраты</t>
  </si>
  <si>
    <t>Прочие услуги</t>
  </si>
  <si>
    <t>Прочие расходы</t>
  </si>
  <si>
    <t>Обеспечивающая подпрограмма</t>
  </si>
  <si>
    <t>Расходы на обеспечение деятельности (оказание услуг) муниципальных учреждений</t>
  </si>
  <si>
    <t>Расходы на осуществление функций психолого-медико-педагогической комиссии</t>
  </si>
  <si>
    <t>Расходы на осуществление деятельности штаба "Абитуриент"</t>
  </si>
  <si>
    <t>Совершенствование общего образования</t>
  </si>
  <si>
    <t>Создание условий для развития дошкольного образования в соответствии с федеральными государственными стандартами дошкольного образования</t>
  </si>
  <si>
    <t>Целевые расходы на возмещение расходов связанных с проездом в отпуск</t>
  </si>
  <si>
    <t>Целевые субсидии на содержание имущества (поверка приборов учета)</t>
  </si>
  <si>
    <t>Целевые субсидии на оплату выходного пособия</t>
  </si>
  <si>
    <t>Целевые субсидии на мероприятия по предупреждению распространения новой коронавирусной инфекции (COVID-19)</t>
  </si>
  <si>
    <t>Обеспечение государственных гарантий прав на получение общедоступного и бесплатного дошкольного образования в муниципальных дошкольных образовательных организациях</t>
  </si>
  <si>
    <t>Выплата компенсации в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t>
  </si>
  <si>
    <t>Создание условий для обеспечения качественного общего образования в соответствии с федеральными государственными образовательными стандартами общего образования</t>
  </si>
  <si>
    <t>Обеспечение государственных гарантий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обеспечения дополнительного образования</t>
  </si>
  <si>
    <t>Целевые субсидии на проведение ГИА</t>
  </si>
  <si>
    <t>Обеспечение выплат ежемесячного денежного вознаграждения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</si>
  <si>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</si>
  <si>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Учреждение серебряных знаков отличия выпускникам школ </t>
  </si>
  <si>
    <t xml:space="preserve">Поощрение выпускников, окончивших общеобразовательные учреждения "золотой медалью" </t>
  </si>
  <si>
    <t>Поощрение выпускников школ, получивших более 90 баллов по итогам сдачи ЕГЭ</t>
  </si>
  <si>
    <t>Тимофеевская премия лучшим обучающимся по итогам года</t>
  </si>
  <si>
    <t>Реализация федерального проекта "Современная школа" в рамках национального проекта "Образование"</t>
  </si>
  <si>
    <t>Реализация проекта "Современная школа" национального проекта "Образование"</t>
  </si>
  <si>
    <t>Воспитание и дополнительное образование детей</t>
  </si>
  <si>
    <t>Обеспечение доступного дополнительного образования детей</t>
  </si>
  <si>
    <t>Совершенствование содержания образовательных программ дополнительного образования детей</t>
  </si>
  <si>
    <t>Развитие системы поддержки талантливых и инициативных детей</t>
  </si>
  <si>
    <t xml:space="preserve">Моя профессия IT </t>
  </si>
  <si>
    <t>Организация и проведение улусных конкурсов World Skills</t>
  </si>
  <si>
    <t>Улусный конкурс "Юный новатор"</t>
  </si>
  <si>
    <t xml:space="preserve">Организация и проведение улусного конкурса "Горный кэскиллэрэ" </t>
  </si>
  <si>
    <t>Создание условий, обеспечивающих доступность дополнительных общеобразовательных программ естесственно-научной и технической направленности</t>
  </si>
  <si>
    <t>Улусный конкурс социальных проектов на Грант Главы улуса</t>
  </si>
  <si>
    <t>Комплексная спартакиада учреждений "Манчаары сиэннэрэ"</t>
  </si>
  <si>
    <t>Поощрение обучающихся достигших наилучших результатов в учебе, спорте и искусстве по итогам года</t>
  </si>
  <si>
    <t>Поощрение лучшего дошкольного образовательного учреждения по итогам года</t>
  </si>
  <si>
    <t>Поощрение лучшего  общеобразовательного учреждения по итогам года</t>
  </si>
  <si>
    <t>Оснащение спортинвентарем и спортивным оборудованием образовательных организаций</t>
  </si>
  <si>
    <t>Повышение профессионального мастерства кадров</t>
  </si>
  <si>
    <t>Повышение профессионального уровня педагогических и руководящих кадров</t>
  </si>
  <si>
    <t>Повышение квалификации руководителей и специалистов орана управления образованием</t>
  </si>
  <si>
    <t xml:space="preserve">Совершенствование педагогического образования, подготовка и переподготовка кадров </t>
  </si>
  <si>
    <t>Реализация федерального проекта "Учитель будущего" в рамках национального проекта "Образование"</t>
  </si>
  <si>
    <t>Подготовка кадров в сфере образования</t>
  </si>
  <si>
    <t>Поддержка педагогических работников</t>
  </si>
  <si>
    <t>Предоставление мер социальной поддержки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</si>
  <si>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Отдых и оздоровление детей</t>
  </si>
  <si>
    <t>Обеспечение организации отдыха, оздоровления и занятости детей в каникулярное время</t>
  </si>
  <si>
    <t>Совершенствование деятельности по организации и обеспечению полноценного (качественного) отдыха и оздоровления детей</t>
  </si>
  <si>
    <t xml:space="preserve">Организация отдыха детей в каникулярное время </t>
  </si>
  <si>
    <t>Расширение сети стационарных лагерей и их материально-технической базы</t>
  </si>
  <si>
    <t xml:space="preserve">Создание условий для развития инфраструктуры системы образования улуса </t>
  </si>
  <si>
    <t>Строительство, приобретение, реконструкция и ремонт объектов образования</t>
  </si>
  <si>
    <t>Строительство, приобретение, реконструкция, обновление объектов образования</t>
  </si>
  <si>
    <t>Разработка и экспертиза ПСД</t>
  </si>
  <si>
    <t>Корректировка проектно-сметной документации объекта "Детский эстетический центр"</t>
  </si>
  <si>
    <t>Капитальный ремонт объектов образования, находящихся в муниципальной собственности</t>
  </si>
  <si>
    <t>Ремонт образовательных учреждений</t>
  </si>
  <si>
    <t>Создание в МБОУ "Магарасская СОШ им.Л.Н.Харитонова" условий для занятия физической культурой и спортом (ремонт спортзала)</t>
  </si>
  <si>
    <t>Ремонт спортивного зала МБОУ "Магарасская СОШ им.Л.Н.Харитонова"</t>
  </si>
  <si>
    <t>Обеспечение безопасности образовательных учреждений</t>
  </si>
  <si>
    <t xml:space="preserve">Материально-техническое обеспечение образовательных учреждений для обеспечения санитарно-эпидемиологической безопасности  </t>
  </si>
  <si>
    <t xml:space="preserve">Материально-техническое обеспечение образовательных учреждений для обеспечения пожарной безопасности </t>
  </si>
  <si>
    <t xml:space="preserve">Материально-техническое обеспечение образовательных учреждений для обеспечения антитеррористической безопасности </t>
  </si>
  <si>
    <t>Руководство и управление в сфере культуры</t>
  </si>
  <si>
    <t>Укрепление ресурсов учреждений культуры</t>
  </si>
  <si>
    <t>Повышение квалификации и переподготовка кадров работников учреждений культуры</t>
  </si>
  <si>
    <t>Грантовая деятельность</t>
  </si>
  <si>
    <t>Развитие народного творчества и культурно - досуговой деятельности Горного улуса</t>
  </si>
  <si>
    <t xml:space="preserve"> Предоставление муниципальных услуг культурно-досуговыми учреждениями культуры</t>
  </si>
  <si>
    <t>Предоставление муниципальных услуг культурно-досуговыми учреждениями культуры</t>
  </si>
  <si>
    <t>Целевые субсидии на иные цели (кроме строительства и кап.ремонта)</t>
  </si>
  <si>
    <t>Строительство</t>
  </si>
  <si>
    <t>Капитальный ремонт</t>
  </si>
  <si>
    <t>Республиканские, улусные мероприятия</t>
  </si>
  <si>
    <t xml:space="preserve">  Проведение улусного национального праздника Ысыах.</t>
  </si>
  <si>
    <t>Развитие  библиотечного дела в Горном улусе</t>
  </si>
  <si>
    <t>Предоставление муниципальных услуг библиотечными учреждениями культуры</t>
  </si>
  <si>
    <t xml:space="preserve"> Развитие библиотечного фонда и библиотечного обслуживания</t>
  </si>
  <si>
    <t>Издание книг</t>
  </si>
  <si>
    <t xml:space="preserve"> Республиканские, улусные мероприятия.</t>
  </si>
  <si>
    <t xml:space="preserve"> Создание и развитие инфраструктуры на сельских территориях</t>
  </si>
  <si>
    <t xml:space="preserve"> Современный облик сельских территорий </t>
  </si>
  <si>
    <t>Реализация проектов комплексного развития сельских территорий (сельских агломераций)(объекты капитального строительства)</t>
  </si>
  <si>
    <t>Канализационно-очистного сооружения производительностью 300 м3/сутки в с.Бердигестях Горного улуса РС(Я)</t>
  </si>
  <si>
    <t>Всего</t>
  </si>
  <si>
    <t>Информация</t>
  </si>
  <si>
    <t>N</t>
  </si>
  <si>
    <t>Наименование муниципальной программы (в разрезе мероприятий)</t>
  </si>
  <si>
    <t>Уточненный годовой план в соответствии с показателями сводной бюджетной росписи</t>
  </si>
  <si>
    <t>Исполнено за отчетный период</t>
  </si>
  <si>
    <t>% исполнения</t>
  </si>
  <si>
    <t>остаток</t>
  </si>
  <si>
    <t>Примечание (указать причины неисполнения)</t>
  </si>
  <si>
    <t>Ответственный за составление формы</t>
  </si>
  <si>
    <t>ОСП (Гуляева Н.Р.)</t>
  </si>
  <si>
    <t>Денежные выплаты участникам ВОВ, вдовам в связи с празднованием Дня Победы</t>
  </si>
  <si>
    <t>ОСП (Васильева К.М.)</t>
  </si>
  <si>
    <t>ОСП (Семенов С.С.)</t>
  </si>
  <si>
    <t>ОСП (Туралысова С.)</t>
  </si>
  <si>
    <t>УФКиС Александров А.А.)</t>
  </si>
  <si>
    <t>Руководство и управление в сфере установленных функций</t>
  </si>
  <si>
    <t>МКУ УИЗО(Чемезова М.П.)</t>
  </si>
  <si>
    <t>Ликвидация несанкционированной свалки</t>
  </si>
  <si>
    <t>Посадка деревьев, кустарников, цветов</t>
  </si>
  <si>
    <t>ОПО (Санникова А.Н.)</t>
  </si>
  <si>
    <t>УЭР (Максимова М.В.)</t>
  </si>
  <si>
    <t>МКУ УК (Кесарева Т.Н.)</t>
  </si>
  <si>
    <t>Модернизация клубных учреждений культуры, укрепление МТБ</t>
  </si>
  <si>
    <t>МКУ УСХ (Дьяконов В.Н.)</t>
  </si>
  <si>
    <t>"День коневода", "Конные скачки"</t>
  </si>
  <si>
    <t>"Урожай",  "Куулэй"</t>
  </si>
  <si>
    <t xml:space="preserve"> "Идэьэ"</t>
  </si>
  <si>
    <t>УАиС (Дьяконов Н.В.)</t>
  </si>
  <si>
    <t>МКУ ДЕЗ (Протопопов А.В.)</t>
  </si>
  <si>
    <t>Содержание муниципальных автодорог</t>
  </si>
  <si>
    <t>Содержание на уборку моста "Заречный" с.Бердигестях</t>
  </si>
  <si>
    <t>СУП</t>
  </si>
  <si>
    <t>ФКУ (Захарова Н.С.)</t>
  </si>
  <si>
    <t>Создание и развитие инфраструктуры на сельских территориях</t>
  </si>
  <si>
    <t>МКУ УО (Сметанина В.И.)</t>
  </si>
  <si>
    <t>Софинансирование строительства объекта "Школа на 550 учащихся в с.Бердигестях"</t>
  </si>
  <si>
    <t>% исп</t>
  </si>
  <si>
    <t>1. Общие целевые показатели в области энергосбережения и повышения энергетической эффективности</t>
  </si>
  <si>
    <t>Доля объемов ЭЭ, расчеты за которую осуществляются с использованием приборов учета, в общем объеме ЭЭ, потребляемой на территории МО</t>
  </si>
  <si>
    <t>Доля объемов ТЭ, расчеты за которую осуществляются с использованием приборов учета , в общем объеме ТЭ, потребляемой на территории МО</t>
  </si>
  <si>
    <t>Доля объемов  Холодной воды, расчеты за которую осуществляются с использованием приборов учета в общем объеме воды, потребляемой на территории МО</t>
  </si>
  <si>
    <t>Доля объемов  Горячей воды, расчеты за которую осуществляются с использованием приборов учета в общем объеме воды, потребляемой на территории МО</t>
  </si>
  <si>
    <t>Доля объемов природного газа, расчеты за который осуществляются с использованием приборов учета  в общем объеме природного газа, потребляемого на территории МО</t>
  </si>
  <si>
    <t>Доля энергетических ресурсов, производимых с использованием возобновляемых источников энергии и (или) вторичных энергетических ресурсов, в общем объеме энергетических ресурсов, производимых на территории МО</t>
  </si>
  <si>
    <t xml:space="preserve">2. Целевые показатели в области энергосбережения и повышения </t>
  </si>
  <si>
    <t>Уд.расход ЭЭ  на снабжение органов местного самоуправления и муниципальных учреждений ( в расчете на 1 кв. метр общей площади)</t>
  </si>
  <si>
    <t>Уд.расход ТЭ  на снабжение органов местного самоуправления и муниципальных учреждений ( в расчете на 1 кв. метр общей площади)</t>
  </si>
  <si>
    <t>Уд.расход Холодной воды  на снабжение органов местного самоуправления и муниципальных учреждений ( в расчете на 1 человека)</t>
  </si>
  <si>
    <t>Уд.расход Горячей воды  на снабжение органов местного самоуправления и муниципальных учреждений ( в расчете на 1 человека)</t>
  </si>
  <si>
    <t>Уд.расход Природного газа  на снабжение органов местного самоуправления и муниципальных учреждений ( в расчете на 1 человека)</t>
  </si>
  <si>
    <t>Отношение экономии энергетических ресурсов и воды в стоймостном выражении, достижение которой планируется в результате реализации энергосервисных договоров (контрактов), заключенных органами местного самоуправления и муниципальными учреждениями к общему объему финансирования муниципальных программ</t>
  </si>
  <si>
    <t>кВтч\кв.м</t>
  </si>
  <si>
    <t>Гкал/кв.м</t>
  </si>
  <si>
    <t>куб.м/  чел.</t>
  </si>
  <si>
    <t xml:space="preserve">3. Целевые показатели в области энергосбережения и повышения </t>
  </si>
  <si>
    <t>Удельный расход ТЭ в МКД (в расчете на 1кв.метр общей площади)</t>
  </si>
  <si>
    <t>Удельный расход Холодной воды в МКД (в расчете на 1 жителя)</t>
  </si>
  <si>
    <t>Удельный расход Горячей  воды в МКД (в расчете на 1 жителя)</t>
  </si>
  <si>
    <t>Удельный расход ЭЭ в МКД (в расчете на 1 кв.метр общей площади)</t>
  </si>
  <si>
    <t>Удельный расход природного газа в МКД с индивидуальными системами газового отопления (в расчете на 1кв.метр общей площади)</t>
  </si>
  <si>
    <t>Удельный расход природного газа в МКД с иными системами теплоснабжения (в расчете на 1 жителя)</t>
  </si>
  <si>
    <t>Удельный сумарный расход энергетических ресурсов в МКД</t>
  </si>
  <si>
    <t>тыс.куб.м/кв.м</t>
  </si>
  <si>
    <t>тыс.куб.м/чел</t>
  </si>
  <si>
    <t>т у.т/кв.м.</t>
  </si>
  <si>
    <t xml:space="preserve">4. Целевые показатели в области энергосбережения и повышения </t>
  </si>
  <si>
    <t>Удельный расход топлива на выработку тепловой энергии на тепловых электростанциях</t>
  </si>
  <si>
    <t>Удельный расход топлива на выработку тепловой энергии на котельных</t>
  </si>
  <si>
    <t>Удельный расход ЭЭ, используемой при передаче тепловой энергии в системах теплоснабжения</t>
  </si>
  <si>
    <t>Доля потерь тепловой энергии при ее передаче в общем объеме переданной тепловой энергии</t>
  </si>
  <si>
    <t>Доля потерь воды при ее передаче в общем объеме переданной воды</t>
  </si>
  <si>
    <t>Удельный расход ЭЭ, используемой для передачи воды в системах водоснабжения (на 1 куб. метр)</t>
  </si>
  <si>
    <t>Удельный расход ЭЭ, используемой в системах водоотведения (на 1 куб. метр)</t>
  </si>
  <si>
    <t>т.у.т. /млн. Гкал</t>
  </si>
  <si>
    <t>г у.т./  Гкал</t>
  </si>
  <si>
    <t>кВтч/куб.м</t>
  </si>
  <si>
    <t>тыс.квВтч/тыс.куб.м</t>
  </si>
  <si>
    <t xml:space="preserve">5. Целевые показатели в области энергосбережения и повышения </t>
  </si>
  <si>
    <t>Удельный расход электрической энергии в системах уличного освещения (на 1кв. Метр освещаемой площади с уровнем освещенности, соответствующим установленным нормативам)</t>
  </si>
  <si>
    <t>кВч/кв.м</t>
  </si>
  <si>
    <t>6. Целевые показатели в области организационных мероприятий по энергосбережению и повышения энергетической эффективности муниципальных учреждений</t>
  </si>
  <si>
    <t>Проведение энергетических обследований и паспортизация зданий муниципальных учреждений</t>
  </si>
  <si>
    <t>Проведение энергосервисных услуг (заключение энергосервисных контрактов)</t>
  </si>
  <si>
    <t>Подключение к газовым сетям объектов муниципальных учреждений</t>
  </si>
  <si>
    <t>Организация работы со студентами, уроженцев Горного улуса в г.Якутске и центральных городов РФ</t>
  </si>
  <si>
    <t>Содержание УСХ</t>
  </si>
  <si>
    <t>Модернизация объектов коммунальной инфраструктуры</t>
  </si>
  <si>
    <t>Ремонт автодороги свалки</t>
  </si>
  <si>
    <t>Обеспечение жильем молодых семей</t>
  </si>
  <si>
    <t>Предусмотрено по программе на 2021 год(тыс.руб.)</t>
  </si>
  <si>
    <t>1.1.</t>
  </si>
  <si>
    <t>1.2.</t>
  </si>
  <si>
    <t>1.2.1.</t>
  </si>
  <si>
    <t>1.2.2.</t>
  </si>
  <si>
    <t>2.1.</t>
  </si>
  <si>
    <t>2.1.1.</t>
  </si>
  <si>
    <t>2.1.2.</t>
  </si>
  <si>
    <t>2.2.</t>
  </si>
  <si>
    <t>2.3.</t>
  </si>
  <si>
    <t>3.1.</t>
  </si>
  <si>
    <t>3.1.1.</t>
  </si>
  <si>
    <t>3.2.</t>
  </si>
  <si>
    <t>3.3.</t>
  </si>
  <si>
    <t>3.3.1.</t>
  </si>
  <si>
    <t>3.3.2.</t>
  </si>
  <si>
    <t>Комплектование библиотечного фонда</t>
  </si>
  <si>
    <t>3.4.</t>
  </si>
  <si>
    <t xml:space="preserve">Сохранение и популяризация объектов культурного наследия </t>
  </si>
  <si>
    <t>Модерннизация и укрепление ресурсов учреждений культуры и искусства</t>
  </si>
  <si>
    <t>6.1.</t>
  </si>
  <si>
    <t>6.2.</t>
  </si>
  <si>
    <t>Строительство и капитальный ремонт объектов культурного наследия</t>
  </si>
  <si>
    <t>6.3.</t>
  </si>
  <si>
    <t>Укрепление материально-технической базы учреждений культуры и искусства</t>
  </si>
  <si>
    <t>Модернизация библиотек</t>
  </si>
  <si>
    <t>6.2.1.</t>
  </si>
  <si>
    <t>6.2.2.</t>
  </si>
  <si>
    <t>Юбилейные мероприятия</t>
  </si>
  <si>
    <t>2.3.1.</t>
  </si>
  <si>
    <t>2.3.2.</t>
  </si>
  <si>
    <t>2.3.3.</t>
  </si>
  <si>
    <t>Республиканские мероприятия</t>
  </si>
  <si>
    <t>2021 г</t>
  </si>
  <si>
    <t>6.1.1.</t>
  </si>
  <si>
    <t>Поддержка ветеранов войны, тыла и труда</t>
  </si>
  <si>
    <t>6.1.1.1.</t>
  </si>
  <si>
    <t>6.1.1.2.</t>
  </si>
  <si>
    <t>6.1.2.</t>
  </si>
  <si>
    <t>Иные социальные выплаты отдельным категориям граждан по муниципльным правовым аткм МО</t>
  </si>
  <si>
    <t>6.1.2.1.</t>
  </si>
  <si>
    <t>6.1.2.2.</t>
  </si>
  <si>
    <t>6.2.3.</t>
  </si>
  <si>
    <t xml:space="preserve"> Содержание, текущий и капитальный ремонт автомобильных дорог общего пользования местного значения</t>
  </si>
  <si>
    <t>Строительство, реконструкция автомобильных дорог местного значения</t>
  </si>
  <si>
    <t>Организация непрерывного образования муниципальных служащих по направлениям от органов местного самоуправления</t>
  </si>
  <si>
    <t>Поддержка социально ориентированных нкоммерческих организаций и территориальных общественных самоуправлений</t>
  </si>
  <si>
    <t>Предоставление субсидий СО НКО для сопровождения бухгалтерской отчетности</t>
  </si>
  <si>
    <t>Содействие развитию институтов гражданского общества</t>
  </si>
  <si>
    <t>Содействие расширению практики взаимодействия государственных органов, органов местного самоуправления, некоммерческих неправительственных организаций, бизнеса и общественности для развития гражданского общества</t>
  </si>
  <si>
    <t>Повышение эффективности работы в сфере профилактики правонарушений</t>
  </si>
  <si>
    <t>Организация и проведение профилактических мероприятий</t>
  </si>
  <si>
    <t>9.1.</t>
  </si>
  <si>
    <t>9.1.1.</t>
  </si>
  <si>
    <t>9.1.1.1.</t>
  </si>
  <si>
    <t>Организация деятельности и поддержка добровольных народных дружин</t>
  </si>
  <si>
    <t>9.1.1.2.</t>
  </si>
  <si>
    <t>9.1.1.3.</t>
  </si>
  <si>
    <t>9.1.1.4.</t>
  </si>
  <si>
    <t>9.2.</t>
  </si>
  <si>
    <t>9.1.2.</t>
  </si>
  <si>
    <t>Информационное обеспечение профилактических мероприятий</t>
  </si>
  <si>
    <t>9.1.2.1</t>
  </si>
  <si>
    <t>Мероприятия,направленные на профилактику правонарушений,преступности,межнациональных конфликтов и экстремизма</t>
  </si>
  <si>
    <t>Профилактика экстремизма и терроризма</t>
  </si>
  <si>
    <t>9.2.1.</t>
  </si>
  <si>
    <t>11.1.</t>
  </si>
  <si>
    <t>11.2.</t>
  </si>
  <si>
    <t>11.3.</t>
  </si>
  <si>
    <t>Поддержка субъектов малого предпринимательства, производящие социально значимые товары (работы, услуги)</t>
  </si>
  <si>
    <t>Развитие внутреннего и въездного туризма на территории муниципальных образований</t>
  </si>
  <si>
    <t>Развитие туристской индустрии</t>
  </si>
  <si>
    <t>Создание экономической среды для развития производственного потенциала</t>
  </si>
  <si>
    <t>Кассовые расходы за 2021  (тыс.руб.)</t>
  </si>
  <si>
    <t xml:space="preserve">Создание условий для развития потенциала подрастающего поколения, молодежи </t>
  </si>
  <si>
    <t xml:space="preserve">Поддержка одаренной молодежи </t>
  </si>
  <si>
    <t>Реализация социально-психологических мероприятий по предупреждению асоциальных явлений в молодежной среде</t>
  </si>
  <si>
    <t>Улусный конкурс на предоставление грантов для реализации добровольческих проектов (поддержка социально-ориентированных проектов молодежных и добровольческих  организаций)</t>
  </si>
  <si>
    <t>Организация волнтерского корпуса</t>
  </si>
  <si>
    <t>Развитие системы управления недвижимостью</t>
  </si>
  <si>
    <t>Развитие системы управления земельными ресурсами</t>
  </si>
  <si>
    <t>Расходы по содержанию имущества</t>
  </si>
  <si>
    <t>Постановка на ГКН границ населенных пунктов</t>
  </si>
  <si>
    <t>Развитие печатных и электронных средств массовой информации</t>
  </si>
  <si>
    <t>Развитие информационно-коммуникационных технологий  для подготовки и проведения 21 Спартакиады  Игры Манчаары, 90-летия Горного улуса</t>
  </si>
  <si>
    <t xml:space="preserve">Обеспечение открытости о деятельности ОМСУ МР "Горный улус" </t>
  </si>
  <si>
    <t>Освещение деятельности ОМСУ в средствах массовой информации</t>
  </si>
  <si>
    <t>Содержание, обновление сайта Администрации муниципального района «Горный улус», сайта МР «Горный улус»</t>
  </si>
  <si>
    <t>Выпуск и изготовление информационных материалов</t>
  </si>
  <si>
    <t>Безопасность в информационном обществе</t>
  </si>
  <si>
    <t>Приобретение вычислительной техники, программного обеспечения, сетевого оборудования для муниципальных нужд</t>
  </si>
  <si>
    <t xml:space="preserve">Популяризация семейных ценностей и реализация мероприятий в области семейной и демографической политики по улучшению положения семей, детей и женщин, повышению ответственного родительства </t>
  </si>
  <si>
    <t xml:space="preserve">Социальная поддержка семей, родивших одновременно двоих и более детей </t>
  </si>
  <si>
    <t>Психологическая поддержка родителей, оказавшихся в трудной жизненной ситуации</t>
  </si>
  <si>
    <t>Количество земельных участков, поставленных на ГКН для многодетных семей</t>
  </si>
  <si>
    <t>Оценка на имущество</t>
  </si>
  <si>
    <t>Цель - Создание условий для активизации социально значимой деятельности институтов гражданского общества</t>
  </si>
  <si>
    <t>Подпрограмма "Поддержка социально ориентированных некоммерческих организаций и территориальных общественных самоуправлений"</t>
  </si>
  <si>
    <t>Строительство объекта "Школа на 550 учащихся в с.Бердигестях" в рамках муниципально-частного партнерствамуниципально-частного партнерства</t>
  </si>
  <si>
    <t>Разработка проектно-сметной документацииобъекта "Школа-сад на 90/40 мест в с.Ерт Горного улуса"</t>
  </si>
  <si>
    <t>Ремонт пищеблоков МБОУ "БСОШ им.С.П.Данилова", МБОУ "БСОШ с УИОП им.А.Осипова"</t>
  </si>
  <si>
    <t>Расходы на оплату выходного пособия</t>
  </si>
  <si>
    <t>Расходы на обеспечение питьевого режима участников Игр Манчаары на объектах размещения и питания (Манчаары)</t>
  </si>
  <si>
    <t>Целевые субсидии на совершенствование системы обеспечения качественным питанием  в образовательных организациях</t>
  </si>
  <si>
    <t>Целевые субсидии на обеспечение питьевого режима участников Игр Манчаары на объектах размещения и питания (Манчаары)</t>
  </si>
  <si>
    <t>Целевые субсидии на создание краведческого УМК (учебного пособия и атласа)</t>
  </si>
  <si>
    <t>Целевые субсидии на пошив костюмов участников открытия Игр Манчаары (Манчаары)</t>
  </si>
  <si>
    <t>Целевые субсидии на приобретение ГСМ в рамках подготовки к организации Игр Манчаары (Манчаары)</t>
  </si>
  <si>
    <t>Приобретение здания под учреждение дополнительного образования детей</t>
  </si>
  <si>
    <t>Обновление технологического оборудования пищеблоков образовательных учреждений (Манчаары)</t>
  </si>
  <si>
    <t>Ремонт доппищеблока в рамках подготовки к организации Игр Манчаары (Манчаары)</t>
  </si>
  <si>
    <t>Создание в МБОУ "БСОШ им.А.Осипова" условий для занятия физической культурой и спортом (ремонт спортзала)</t>
  </si>
  <si>
    <t>Техническое перевооружение и модернизация производства</t>
  </si>
  <si>
    <t>материально-техническое обеспечение</t>
  </si>
  <si>
    <t>Увеличение стоимости запасных материалов и содержания имущества</t>
  </si>
  <si>
    <t>Приобретение матзапасов</t>
  </si>
  <si>
    <t>Аренда гаража</t>
  </si>
  <si>
    <t xml:space="preserve">Прочие услуги </t>
  </si>
  <si>
    <t>прочие расходы</t>
  </si>
  <si>
    <t>Урожай, Куулэй</t>
  </si>
  <si>
    <t>Реконструкция ипподрома с.Бердигестях</t>
  </si>
  <si>
    <t>Транспортные услуги</t>
  </si>
  <si>
    <t>ГСМ</t>
  </si>
  <si>
    <t>Партикабль для ипподрома</t>
  </si>
  <si>
    <t>Поддержка семейной экономики</t>
  </si>
  <si>
    <t>ИМБТ</t>
  </si>
  <si>
    <t>Закуп комбикорма</t>
  </si>
  <si>
    <t>Соболь</t>
  </si>
  <si>
    <t>Изделия колбасные</t>
  </si>
  <si>
    <t>КП 9 мес</t>
  </si>
  <si>
    <t>Число семей находящихся в социально – опасном положении, состоящих на учете в КДН и ЗП;</t>
  </si>
  <si>
    <t>Количество преступлений,совершенных несовершеннолетними</t>
  </si>
  <si>
    <t>Количество общественных формирований направленных на профилактику правонарушений (ЮДП,ОКДН и другие общественные формирования)</t>
  </si>
  <si>
    <t xml:space="preserve">Число зарегистрированных преступлений </t>
  </si>
  <si>
    <t xml:space="preserve">Число тяжких и особо тяжких преступлений </t>
  </si>
  <si>
    <t>Количество дорожно-траспортных происшествий</t>
  </si>
  <si>
    <t xml:space="preserve">Число пострадавших в результате дорожно-траспортнрых происшествий </t>
  </si>
  <si>
    <t>Количество проектов, получивших Грантовые поддержки</t>
  </si>
  <si>
    <t>Доля СО НКО и ТОС, получивших Грантовые поддержки,  из общего числа участников конкурсов</t>
  </si>
  <si>
    <t>Количество выгодоприобретателей при реализации социальных проектов на 1000 человек.</t>
  </si>
  <si>
    <t>Доля зарегистрированных ТОС на территории МР из общего числа "Туелбэ".</t>
  </si>
  <si>
    <t>Подпрограмма "Содействие развитию институтов гражданского общества"</t>
  </si>
  <si>
    <t>Основное мероприятие "Создание условий для развития потенциала подрастающего поколения, молодежи"</t>
  </si>
  <si>
    <t>Количество профориентационных мероприятий (проектов) для несовершеннолетних и молодежи</t>
  </si>
  <si>
    <t>Основное мероприятие "Формирование и координация патриотического воспитания молодежи"</t>
  </si>
  <si>
    <t>Основное мероприятие "Развитие добровольчества (волонтерства)"</t>
  </si>
  <si>
    <t>Доля вовлеченных граждан в реализации проектов гражданских инициатив на 1000 человек</t>
  </si>
  <si>
    <t xml:space="preserve">Рост степени удовлетворенности населения информационной открытостью органов местного самоуправления </t>
  </si>
  <si>
    <t>Создание эффективной системы по организации физкультурно-оздоровительной и спортивной работы с людьми с ограниченными возможностями здоровья, в том числе с инвалидностью</t>
  </si>
  <si>
    <t>Руководство и управление в сфере физической культуры  и спорта</t>
  </si>
  <si>
    <t xml:space="preserve">Проведение спортивно-массовых мероприятий </t>
  </si>
  <si>
    <t>Участие  на официальных Республиканских, Российских и международных соревнованиях (проезд, питание, проживание)</t>
  </si>
  <si>
    <t>Увеличение доли детей в возрасте от 5 до 18 лет, охваченных дополнительным образованием в сфере культуры;</t>
  </si>
  <si>
    <t>Развитие дополнительного образования детей в сфере культуры и искусства</t>
  </si>
  <si>
    <t xml:space="preserve">Содействие развитию благоустройства территорий муниципальных образований </t>
  </si>
  <si>
    <t>Перевозка песка для парковочных стоянок</t>
  </si>
  <si>
    <t>Снос здания д/с Умка</t>
  </si>
  <si>
    <t>соф МО 2250,0 Молодая семья</t>
  </si>
  <si>
    <t xml:space="preserve">Содержание муниципальных автодорог </t>
  </si>
  <si>
    <t xml:space="preserve">Рубка и расчистка леса для видимости муниципальных автодорог </t>
  </si>
  <si>
    <t>Ремонт подъездной дороги к парковкам объектов размещения к проведению XXI Спартакиады по национальным видам спорта «Игры Манчаары»</t>
  </si>
  <si>
    <t>Софинансирование на строительство мостовых переходов муниципальных автодорог по итогам конкурса Минтранс РС(Я)</t>
  </si>
  <si>
    <t>Софинансирование на проектирование  муниципальной автодорог "Орто-сурт - Кептин Горного улуса РС(Я)" с протяженностью 15 км.</t>
  </si>
  <si>
    <t xml:space="preserve">Ремонт муниципальных автодорог </t>
  </si>
  <si>
    <t>Заключен контракт на разработку ПИР с ООО "Геопроект", ведутся проектные работы, срок завершения работ март 2021 года, начисляются пени за просроченные дни</t>
  </si>
  <si>
    <t>ОСП (Копылова М.С.)</t>
  </si>
  <si>
    <t>денежное поощрение предоставляется по поступившим заявлениям</t>
  </si>
  <si>
    <t>Не готовы градостроительные документы на населенные пункты</t>
  </si>
  <si>
    <t>софинансирование МБ, перенесен на 2022 г.</t>
  </si>
  <si>
    <t xml:space="preserve">ОСП </t>
  </si>
  <si>
    <t>ОПО (Лебедев А.Н.)</t>
  </si>
  <si>
    <t>Обеспечение экологической безопасности на территории муниципального образования</t>
  </si>
  <si>
    <t>В связи с пандемией проведение "Урожай", "Куулэй" отменен, планируется проведение мероприятия "День сельского хозяйства"</t>
  </si>
  <si>
    <t>планируется проведение мероприятия "День сельского хозяйства"</t>
  </si>
  <si>
    <t>В 2021 году финансирование не предусмотрено</t>
  </si>
  <si>
    <t xml:space="preserve">  Внутрипоселковые газовые сети с.Бердигестях Горного улуса РС(Я) 1 пусковой комплекс 4 этап - строительно-монтажные работы завершены. Получено разрешение на ввод объекта в эксплуатацию от 15.12.2020 г.
 Внутрипоселковые газовые сети 1 пусковой комплекс 3 этап в с.Бердигестях Горного улуса РС(Я). Выполнено работ на 85%.  (Проложены уличные сети газопровода 13777 п.м., выведено стояков в количестве 360 ед из 388 ед). Срок завершения работ по контракту 30.10.2021 г.
«Внутрипоселковые газовые сети 2 пусковой комплекс 1 этап в с. Бердигестях Горного улуса РС(Я)» - Выполнено на 90%.  (Проложены уличные сети газопровода 23500 п.м., выведено стояков в количестве 410 ед из 430 ед). Срок завершения работ по контракту 30.12.2021 г.
  В селе Бердигестях общее количество жилых домов составляет 2137, из них 1073 жилых домов имеют проект. По состоянию на 01.10.2021 г. подключено к газификации 40 жилых домов, получено 357 технических условий. В 2021 году планируется перевод на газ 4 котельных.</t>
  </si>
  <si>
    <t>Другие мероприятия</t>
  </si>
  <si>
    <t>Экономия 193,25тыс.рублей. Освоение в IV квартале 2021 г.</t>
  </si>
  <si>
    <t xml:space="preserve">Разработка проекта "Актуализация генерального плана МО "Маганинский наслег", правил землепользования и застройки, проекта планировки и межевания территориис с.Орто-Сурт, МО "Маганинский наслег", Горного улуса, Республики Саха (Якутия)" </t>
  </si>
  <si>
    <t>Разработка проекта планировки и межевания территории с.Асыма, МО "Кировский наслег", Горного улуса, Республики Саха (Якутия)</t>
  </si>
  <si>
    <t>Разработка проекта планировки и межевания территории с.Магарас, МО "Одунунский наслег", Горного улуса, Республики Саха (Якутия)</t>
  </si>
  <si>
    <t>Софинансирование ВОС по ПОФР (1%)</t>
  </si>
  <si>
    <t>перемещение отходов свалки</t>
  </si>
  <si>
    <t>Видеонаблюдение</t>
  </si>
  <si>
    <t>Устройство охранной будки</t>
  </si>
  <si>
    <t>Подписан договор ИП Данилов А.Л. на установку видеонаблюдения, ПАО Якутскэнерго, подключение видеонаблюдения свалки ТКО</t>
  </si>
  <si>
    <t>Подписан договор ООО "Сомого"</t>
  </si>
  <si>
    <t>Градостроительное планирование развития территорий. Снижение административных барьеров в области строительства</t>
  </si>
  <si>
    <t>Реализация градостроительной политики</t>
  </si>
  <si>
    <t>Реализация градостроительной политики, развитие и освоение территорий</t>
  </si>
  <si>
    <t>Индекс результативности &lt;*&gt; (рассчитывается заказчиком программы на основании разработанной методики оценки эффективности реализации программы, утвержденной до начала ее реализации)</t>
  </si>
  <si>
    <t>Предоставление субсидии на приобретение скороспелых с/х животных</t>
  </si>
  <si>
    <t>Поголовье серебристо-черных лисиц во всех формах хозяйствования</t>
  </si>
  <si>
    <r>
      <rPr>
        <sz val="7"/>
        <rFont val="Times New Roman"/>
        <family val="1"/>
        <charset val="204"/>
      </rPr>
      <t xml:space="preserve"> </t>
    </r>
    <r>
      <rPr>
        <sz val="14"/>
        <rFont val="Times New Roman"/>
        <family val="1"/>
        <charset val="204"/>
      </rPr>
      <t>Доля детей с ОВЗ и (или) детей-инвалидов, охваченных бесплатным дополнительным образованием в общей численности детей;</t>
    </r>
  </si>
  <si>
    <t xml:space="preserve"> руб.</t>
  </si>
  <si>
    <t>руб.</t>
  </si>
  <si>
    <t xml:space="preserve">Организация непрерывного образования муниципальных служащих по направлениям от органов местного самоуправления </t>
  </si>
  <si>
    <t xml:space="preserve">Создание условий для развития и сохранения кадрового потенциала </t>
  </si>
  <si>
    <t>исполнен, остаток - экономия</t>
  </si>
  <si>
    <t>лучшее учреждение по итогам 2020 года д/с Кырачаан ымыылар</t>
  </si>
  <si>
    <t>поверка теплосчетчиков БУГ, Магарасская СОШ, Кептинская СОШ</t>
  </si>
  <si>
    <t>16 золотых медалистов по 5000 р.</t>
  </si>
  <si>
    <t>9 выпускников по 5000 р., 1 выпускник 10000 р.</t>
  </si>
  <si>
    <t>лучшее учреждение по итогам 2020 года БСОШ УИОП</t>
  </si>
  <si>
    <t>приобретено здание ТД Эргис</t>
  </si>
  <si>
    <t>направлены 3 школам: БУГ, Ертская СОШ, Кировская СОШ</t>
  </si>
  <si>
    <t>ведутся работы по составлению Технического задания объекта</t>
  </si>
  <si>
    <t>работы по государственной экспертизе не завершены</t>
  </si>
  <si>
    <t>софинансирование ремонта спортивного зала школы, работы завершены</t>
  </si>
  <si>
    <t>ремонта спортивного зала школы за счет МБ (остаток 2020 года), работы завершены, остаток - экономия</t>
  </si>
  <si>
    <t>Начальник УЭР Филиппова С.П.</t>
  </si>
  <si>
    <t>Исп.: гл.специалист УЭР Данилова Л.И.</t>
  </si>
  <si>
    <t xml:space="preserve">Муниципальная программа «Обеспечение качественным жильем и повышение качества жилищно-коммунальных услуг в МР «Горный улус» на 2020-2024годы» </t>
  </si>
  <si>
    <t>Ведомственная целевая программа «Развитие кадрового потенциала муниципальных служащих и работников органов местного самоуправления МР "Горный улус" на 2020-2024годы»</t>
  </si>
  <si>
    <t>Цель - Применение современных информационных и телекоммуникационных технологий и обеспечение информационной открытости для повышения качества жизни граждан.</t>
  </si>
  <si>
    <t>Цель - создание и обеспечение благоприятных условий для развития и повышения конкурентоспособности малого и среднего предпринимательства на территории МР «Горный улус»</t>
  </si>
  <si>
    <t>Цель-Создание условий для эффективного и ответственного управления муниципальными финансами, повышение устойчивости консолидированного бюджета муниципального района «Горный улус» на 2020-2024 годы, определение условий долгосрочного социально-экономического развития</t>
  </si>
  <si>
    <t>Цель  - Комплексное развитие отрасли, реализация культурного интеллектуального потенциала улуса и повышение качества, доступности услуг в сфере культуры.</t>
  </si>
  <si>
    <t>Цель– снижение затрат бюджета и населения за потребленные энергоресурсы за счет повышения эффективности энергопотребления путем внедрения современных энергосберегающих технологий</t>
  </si>
  <si>
    <t>Цель-Обеспечение населения Горного улуса доступным благоустроенным жильем с безопасными и комфортными условиями среды проживания населения на основе самоокупаемости, эффективности и надежности функционирования инженерных систем</t>
  </si>
  <si>
    <t>Цель-Повышение безопасности дорожного движения на муниципальных автомобильных дорогах Горного улуса, развитие и улучшение транспортно-эксплуатационных качеств автомобильных дорог общего пользования.</t>
  </si>
  <si>
    <t xml:space="preserve">Цель - повышение качества подготовки управленческих кадров для новой экономики, расширение гибко адаптирующихся и опережающих изменения современных требований профессиональных компетенций работников органов местного самоуправления и муниципальных служащих.    </t>
  </si>
  <si>
    <t>Цель - Повышение уровня доступности к приоритетным объектам и услугам в приоритетных сферах жизнедеятельности инвалидов и других маломобильных групп населения, испытывающих затруднения при самостоятельном передвижении, получении услуг, необходимой информации в Горном районе, создание правовых, экономических и институционных условий, способствующих интеграции инвалидов в общество и повышению уровня их жизни.</t>
  </si>
  <si>
    <t>Цель-Стабилизация криминальной ситуации в Горном районе, совершенствование комплексного подхода развития и повышения эффективности системы профилактики правонарушения по работе с несовершеннолетними детьми, подростками и семьями, находящихся в трудной жизненной ситуации.</t>
  </si>
  <si>
    <t>Цель - Создание условий для успешной социализации и эффективной самореализации молодежи, развития потенциала молодежи в интересах развития улуса</t>
  </si>
  <si>
    <t>Цель-Создание условий для устойчивого и динамичного развития физической культуры и спорта в Горном улусе.</t>
  </si>
  <si>
    <t>Поддержка скотоводства ЛПХ</t>
  </si>
  <si>
    <t>в т.ч. Маток</t>
  </si>
  <si>
    <t>Заготовка мяса</t>
  </si>
  <si>
    <t xml:space="preserve">Средний удой с 1 коровы </t>
  </si>
  <si>
    <t xml:space="preserve">Изгородь на  посевных площадях зерновых и кормовых культур </t>
  </si>
  <si>
    <t xml:space="preserve">Приобретение  сельскохозяйственный техники </t>
  </si>
  <si>
    <t xml:space="preserve">Основная цель  - стимулирование роста производства продукции животноводства и скороспелых видов сельскохозяйственных животных. </t>
  </si>
  <si>
    <t>Рыбная продукция</t>
  </si>
  <si>
    <t>Переработанные и консервированные рыбы</t>
  </si>
  <si>
    <t>Семейная экономика</t>
  </si>
  <si>
    <t>Обеспеченность яйцами</t>
  </si>
  <si>
    <t>Обеспеченность мясом</t>
  </si>
  <si>
    <t>Идэьэ</t>
  </si>
  <si>
    <t>Конные скачки, день коневода</t>
  </si>
  <si>
    <t>Отчет о достигнутых значениях целевых показателей муниципальных программ МР "Горный улус" за  2021 год</t>
  </si>
  <si>
    <t>Отчет финансирования муниципальных программ за 2021 год по МР "Горный улус"</t>
  </si>
  <si>
    <t>Подписан контракт с подрядной организацией ООО "Амгор", стоимость контракта 3 744 400,00 руб. Дополнительно подписан договор с ООО "Амгор" на сумму 159 792,65 руб. Все работы завершены.</t>
  </si>
  <si>
    <t>Подписан контракт с ИП "Трофимов И.Ф." Работы завершены.</t>
  </si>
  <si>
    <t>Подписан договор ГПХ Сидоров Р.Н. Работы завершены.</t>
  </si>
  <si>
    <t>Подписан контракт с подрядной организацией ИП "Павлов А.Х.", стоимость контракта 300 000,00 руб. Работы завершены.</t>
  </si>
  <si>
    <t xml:space="preserve">Ремонт мостовых переходов и инженерных сооружений на муниципальных автодорогах </t>
  </si>
  <si>
    <t>Подписан договор с ИП "Трофимов И.Ф." Работы завершены.</t>
  </si>
  <si>
    <t>Подписан контракт с подрядной организацией ООО "Туласын", стоимость контракта 22 806 607,93 руб. Работы завершены.</t>
  </si>
  <si>
    <t xml:space="preserve">% исполнения </t>
  </si>
  <si>
    <t>Подписан контракт с подрядной организацией ООО "Амгор", стоимость контракта 4 931 947,48 руб. Работы завершены.</t>
  </si>
  <si>
    <t>Разработка (корректировка) и утверждение  схемы территориального планирования МР «Горный улус»</t>
  </si>
  <si>
    <t>Создание условий для устойчивой зимовки скота и лошадей</t>
  </si>
  <si>
    <t>предусмотрено субсидия на финансовое обеспечение части затрат по заготовке мяса КРС у сельскохозяйственных товаропроизводителей Горного улуса - СХППК "ГорныйМясоПродукт"</t>
  </si>
  <si>
    <t>субсидие на строительство коровников для хозяйств имеющих более 5 голов маточного поголовья КРС (коров) предусмотрено 6 хозяйствам.</t>
  </si>
  <si>
    <t>предусмотрено субсидия на возмещение части затрат на развитие материально-технической базы сельскохозяйственых потребительских кооперативов - СХППК "Горный Ас"</t>
  </si>
  <si>
    <t>Возмещение затрат по содержанию кобыл</t>
  </si>
  <si>
    <t>Отбор на возмещение части затрат по производству кобыльего молока прошел ИП ГКФХ Григорьев С.С. Объем производства кобыльего молока 1000 кг. По ставке 40 рублей.</t>
  </si>
  <si>
    <t>предусмотрено субсидия на финансовое обеспечение и/или возмещение части затрат на укрепление МТБ звероводческих хозяйств - ООО "Одуну"</t>
  </si>
  <si>
    <t>Отбор на регулирование численности волков и медведей на территории МР Горный улус: 1 отбор прошли 10 хозяйств, добыто волков 20. 2 отбор прошли 7 хозяйств, добыто 12 волков. 3 отбор прошли 4 хозяйств: добыто 2 медведя и 2 волка по ставке 10000 рублей на голову</t>
  </si>
  <si>
    <t>по конкурсному отбору субсидии прошли 17 заявителей.</t>
  </si>
  <si>
    <t>Разработка проекта планировки и межевания территории с.Бясь-Кюель МО "Атамайский наслег"</t>
  </si>
  <si>
    <t>Разработка проекта планировки и проекта межевания территории (ППТ и ПМТ) объекта: «Централизованные сети канализации с. Бердигестях Горного улуса РС(Я)»</t>
  </si>
  <si>
    <t>Разработка проекта планировки и межевания территории ВОС с.Бердигестях</t>
  </si>
  <si>
    <t xml:space="preserve">Подготовка проекта генерального плана, правил землепользования и застройки,  с.Тонгулах МО "Малтанинский наслег",   генерального плана с.Харыялах МО "Одунунский наслег" Горного улуса, Республики Саха (Якутия)" </t>
  </si>
  <si>
    <t xml:space="preserve">Исполнены работы по Контракту №32/21-ЭА от 25.05.2021г. </t>
  </si>
  <si>
    <t xml:space="preserve">Исполнены работы по Контракту №34/21-ЭА от 26.05.2021г. </t>
  </si>
  <si>
    <t>Исполнены работы по Контракту № 33/21-ЭА от 26.05.2021г.</t>
  </si>
  <si>
    <t xml:space="preserve">Договор №б/н от 22.11.2021 г. исполнен </t>
  </si>
  <si>
    <r>
      <t xml:space="preserve">Подписан контракт № 55/21-ЭА от 17.01.2022г. На сумму 198 т.р. </t>
    </r>
    <r>
      <rPr>
        <sz val="12"/>
        <color rgb="FFFF0000"/>
        <rFont val="Times New Roman"/>
        <family val="1"/>
        <charset val="204"/>
      </rPr>
      <t>Экономия составляет 252 т.р</t>
    </r>
    <r>
      <rPr>
        <sz val="12"/>
        <color theme="1"/>
        <rFont val="Times New Roman"/>
        <family val="1"/>
        <charset val="204"/>
      </rPr>
      <t>.</t>
    </r>
  </si>
  <si>
    <t>Исполнены работы по договору №43/21 от 26.11.2021 г.</t>
  </si>
  <si>
    <t>Подписан договор №16/2021 от 22.01.2021</t>
  </si>
  <si>
    <t>Заключен контракт с ИП Григорьев</t>
  </si>
  <si>
    <t>Вручены 7 сертификатов на строительство ИЖД</t>
  </si>
  <si>
    <t>Развитие теплоснабжения (Одунунский)</t>
  </si>
  <si>
    <t xml:space="preserve">Исполнены работы по договору с ИП Павлов А.Х. </t>
  </si>
  <si>
    <t>Развитие водоснабжения Экспертное сопровождение ГАУ "Управление Госэкспертизы РС(Я)</t>
  </si>
  <si>
    <t xml:space="preserve">Исполнены работы по перемещению отходов свалки ТКО. Исполнители ООО "СахаСпецТранс" - 303,98т.р., из них 40 т.р. на перевозку специализированного транспортного средства (бульдозер для свалки)
Исполнены работы по перемещению отходов свалки ТКО ООО "Амгор" - 94,85т.р.
Исполнены работы по перемещению отходов свалки ТКО. ООО "Сомого" - 250т.р.
Исполнены работы по перемещению отходов свалки ТКО.  ИП Павлов А.Х. - 56т.р.
</t>
  </si>
  <si>
    <t>Республиканский фестиваль "Автоледи 2021" не проведен, в связи с короновирусной инфекцией</t>
  </si>
  <si>
    <t>Укрепление общетсвенного здоровья</t>
  </si>
  <si>
    <t>По данным МКУ УО Всего 355 обучающихся, охвачено 35 детей</t>
  </si>
  <si>
    <t>Проведено и организовано участие 22 мероприятий: 1. Акция "Эрэл кыымын са5ан" помощь одиноким отцам, 2. Чествование 3 семей "Золотая свадьба" 3.Улусный конкурс "А5а курэ5э", 4. Мероприятия к Международному дню семьи,чествование семей, награждение 3 семей знаком"За любовь и верность" 5. Мероприятие по вручению карта жителя Якутия 6.Конкурс субсидий по семейной политике 7.Участие в заочном республиканском семейном конкурсе "Многодетная семья", 8.Акция "Помоги учиться дома" 9. Участие в республиканском заочном конкурсе "Семья - гордость коллектива" 10.Чествование семьи Осиповых "Золотая свадьба" , 11. Конкурс  семей автоквест "Горный молодой", 12. Награждение семей 4 и 6 ребенка сертификатами 13. Награждение семей, включенных в "Книгу Почета лучших семей Горного улуса", 14. Акция в День защиты детей, стационарного отделения ЦРБ, 15. Торжественная выписка многодетной матери в День защиты детей 16. Круглый стол с участием УСЗН, ПФ, ЦЗН. 17. Участие в прямой трансляции этнографической программа "Окко киирии",совместно ЯГОМ им.Ярославского. 18. Организация по оказании помощи пострадавшим от лесного пожара. 19.Торжественная выписка тройняшек. 20. Чествование 4 семей совместной жизни 55 и 50 лет. 21. Награждение двойняшек Белолюбских. 22. Благотворительная Елка главы.</t>
  </si>
  <si>
    <t>По данным ЦСППМ</t>
  </si>
  <si>
    <t>Доля численности населения, охваченного территориями опорных центров ЗОЖ, из общего числа населения</t>
  </si>
  <si>
    <t xml:space="preserve">1. ЦССПП Проведены лекции для родителей ТЖС. 2. Сняты видеоролики по вакцинации от КОВИД-19. 3. Организованы прямые эфиры с участием ЦРБ, Роспотребнадзор 4.Проведен улусный конкурс "Лучший спортивный уголок семьи" 5. Освещение в инстаграме ппуляризации ЗОЖ, профилактики Ковид 6. Лекции Сабарайкиной Т.В. для сосотоящих на учете семей, для родителй из СОП семей </t>
  </si>
  <si>
    <t>Всего 6 опорных центров ЗОЖ (Одуну, Дикимдя, Ерт, Малтааны, Атамай, Маганы), Расчет: (1056+661+529+650+695+591)/12264*100=34,10</t>
  </si>
  <si>
    <r>
      <t>(К</t>
    </r>
    <r>
      <rPr>
        <b/>
        <vertAlign val="subscript"/>
        <sz val="10"/>
        <rFont val="Times New Roman"/>
        <family val="1"/>
        <charset val="204"/>
      </rPr>
      <t>1</t>
    </r>
    <r>
      <rPr>
        <b/>
        <sz val="10"/>
        <rFont val="Times New Roman"/>
        <family val="1"/>
        <charset val="204"/>
      </rPr>
      <t xml:space="preserve"> – К</t>
    </r>
    <r>
      <rPr>
        <b/>
        <vertAlign val="subscript"/>
        <sz val="10"/>
        <rFont val="Times New Roman"/>
        <family val="1"/>
        <charset val="204"/>
      </rPr>
      <t>8</t>
    </r>
    <r>
      <rPr>
        <b/>
        <sz val="10"/>
        <rFont val="Times New Roman"/>
        <family val="1"/>
        <charset val="204"/>
      </rPr>
      <t>)</t>
    </r>
  </si>
  <si>
    <t>Оформлены подписки за 2 полугодие 2021г - 56,74 тыс.руб. и  в ноябре 2021г. оформлено за 1 полугодие 2022г. - 66,27 тыс.руб. Улусной газеты "Улэ кууьэ"</t>
  </si>
  <si>
    <t xml:space="preserve"> КСО "Туьулгэ" Маганинского наслега не смогла предоставить расчетный счет</t>
  </si>
  <si>
    <t>на монтаж дополнительных электрических розеток не израсходованы</t>
  </si>
  <si>
    <t>конкурс среди районов не проведен</t>
  </si>
  <si>
    <t>Всего ТОС - 53, из них зарегистрированы в Минюстиции - 5, в Администарцию МО - 8. 13/53*100=24,52%</t>
  </si>
  <si>
    <t>Фонд президентских грантов РФ -9, Поддержки культурных  инициатив РФ - 1(МБУ Детская модельная библиотека, с проектом Семейный центр планета успеха), Гранты Главы РС(Я) - 6, Грантовый конкурс Алмазэргиенбанка -8, Грантовый конкурс Алмазкредитсервис - 1 (Маганинский наслег с проектом “Добровольная пожарная команда”).</t>
  </si>
  <si>
    <t xml:space="preserve">Всего в Горном улусе 779 инвалидов, из них в 2021г. вовлечены в мероприятиях по социализации в обществе - 288 человек. </t>
  </si>
  <si>
    <t xml:space="preserve">Всего приоритетных объектов 33, из них 12-доступны, в 2021г. на 1 объект по плану выполнены работы по приобретению и монтажу пристенных поручней из нержавеющей стали, тактильно-визуальных разметок на 2 и 3 этажах в МКД в с.Бердигестях социального значения по адресу: ул.С.Данилова, д.51В </t>
  </si>
  <si>
    <t>распоряжением от 17.05.21 №71/01-01 проведен ежегодный улусный конкурс "лучший класс года" среди начал.классов побед стали 4 "а" класс 70 тыс,среди среднего звена 7 класс-80 тыс.,среди 8-9 классов стал 9 класс 300 тыс.руб.</t>
  </si>
  <si>
    <t xml:space="preserve"> расход на  выездные рейды октябрь, ноябрь месяц, с 11-12 октября 2021г, рейды праздничные выходные, проведен улусный конкурс "Безопасное колесо", через зум приняли участие 3 образовательных оргн-ий  </t>
  </si>
  <si>
    <t>по программе "Надежда" за 2021 год вылечились от алкогольной зависимости 9 чел.из них 7 семей,3-мужчины,6-женщин.</t>
  </si>
  <si>
    <t>изготовлены баннеры в кол.10 шт по профилактике наркомании,алкоголизма,табакокурения</t>
  </si>
  <si>
    <t>подписан договор на тех.обслуживание системы видеонаблюдения ИП Данилов А.Л.</t>
  </si>
  <si>
    <t>данные ОГИБДД Отд.МВД России по Горному району</t>
  </si>
  <si>
    <t>данные МВД России по Горному району</t>
  </si>
  <si>
    <t>Кадровые перестановки в администрации муниципального района.  Работники чье обучение было запланировано перешли на другие должности.</t>
  </si>
  <si>
    <t>Количество муниципальных служащих, включенных в кадровый резерв Горного улуса</t>
  </si>
  <si>
    <t>ФОТ системного администратора</t>
  </si>
  <si>
    <t>Заключен Договор №22122021-Р от 22 декабря 2022г.  на разработку интернет-сайта  с ООО «Смарт Юнит» на сумму -224 955,00 руб.  По 1 этапу работ оплачено 30%.-67 486 руб. На основании Договора остаток средств-  157 468,50 руб.  переведены на 2022 год, работы по Договору планируется завершить в марте месяце 2022г..</t>
  </si>
  <si>
    <t xml:space="preserve">Договор с ИП Семенова Н. С филиалом магазина “Азбука” с Бердигестях  на приобретение бумаги А4 и расходных материалов  к принтеру </t>
  </si>
  <si>
    <t>Создание ИТ центра. Остаток средств были выделены на ремонтные работы ИТ Центра. Ремонт не произведен.</t>
  </si>
  <si>
    <t>ФОТ вед специалист УЭР</t>
  </si>
  <si>
    <t xml:space="preserve">индикатор реализуется совместно с филиалом ЦСППСиМ: Как показывает анализ, наибольшее количество – 40.8 % от общего числа охвата, составляют клиенты в возрасте от 14 до 17 лет. Увеличение количества в данной целевой группе объясняется тем что, за отчетный период были реализованы программы «Социализация личности». Далее в возрасте от  36  до 59  лет -15 %,  от 7 до 13 лет -13  %, от 18  до 35 лет - 15 %,  неопределенные 8%, следующими идут клиенты в возрасте от 60 и старше 5  % ,  от 18 до 35  лет -15 % ,далее до 6 лет 1% . </t>
  </si>
  <si>
    <t>В период с января по февраль текущего года органами по делам молодежи совместно с инспектором ПДН проведены рейдовые (выездные) и профилактические работы по раннему выявлению семей, находящихся в СОП, обеспечению информационной безопасности несовершеннолетних граждан. Результаты проведенных мероприятий: 2 индивидуальных бесед с несовершеннолетними, 4 обследования жилищно-бытовых условий семей, состоящих на учете СОП, 1 выездной рейд в МО «Одунунский наслег».
 В период с июня по июль проведены рейды в рамках профилактических мероприятий «Ночной дозор»  совместно с инспекторов по делам несовершеннолетних ОМВД России по Горному району Шкулевой Н.А. Оформлены 4 протокола по статье 5.35 КоАП РФ родителям и законным представителям несовершеннолетних.
В осеннее время (сентябрь-октябрь) проведены zoom-лекции для учащихся общеобразовательных учреждений Горного улуса, родителей с участием инспектора ПДН Отделения МВД России по Горному району Шкулевой Н.А., старшего педагога-психолога ГБУ РС(Я) «Центр психологической помощи семьи и молодежи» Платоновой С.П. на темы «Информационная безопасность», «Возможности сети Интернет».</t>
  </si>
  <si>
    <t>В целях активизации социальной активности молодежи в возрасте от 14 до 35 лет на территории Горного улуса сформированы волонтерские отряды «Волонтеры Победы», продолжает работу местное отделение ВОД «Юнармия», реализация федеральной акции «Мы вместе». Во всех муниципальных образованиях действуют молодежные общественные формирования.</t>
  </si>
  <si>
    <t>Организованы профориентационные встречи со страшеклассниками ОУ (платформа зум), реализация пилотного проекта "Передвижной учебно-строительный комбинат" по подготовке рабочих кадров</t>
  </si>
  <si>
    <t>Конкурс грантов в форме субсидий из мун.бюджета МР "Горный улус" на реализацию мероприятий направленных на патриотическое воспитание молодежи. Общая сумма субсидии 100 000 рублей. По итогам конкурса поддержку получили 5 проектов, охват участников 1600 человек.</t>
  </si>
  <si>
    <t>Организация волонтерского корпуса XXI Спартакиады по национальным видам спорта «Игры Манчаары» в Горном улусе. Приняло участие 153 волонтера в возрасте от 18 до 70 лет в рамках проекта "Межрегиональная добровольческая инициатива: пэйсмейкер компетенций волонтера"  (акции "100 добрых дел к 100-летию Якутской АССР" по посадке можжевельников, акция "Я привит", субботники по очистке центральных улиц)                                                                                                                                                    С 7 по 19 августа 2021 г. в связи с чрезвычайной ситуацией по лесным пожарам в селе Бясь-Кюель организован волонтерский корпус по оказанию помощи погорельцам в пунктах временного пребывания в с. Бердигестях на базе пришкольного интерната МБОУ «Бердигестяхская СОШ с УИОП им. А.Н.Осипова», МБОУ «Бердигестяхская СОШ им. С.П.Данилова», многофункциональный спортивный зал. Всего приняло участие 52 волонтера. (организация гуманитарной помощи, организация пункта гуманитарной помощи погорельцам)
Волонтерами проделаны следующие работы: помощь в обустройстве пунктов временного пребывания, приобретение и выдача вещей первой необходимости, продуктов питания, организация пункта гуманитарной помощи, информационная работа;
Организация волонтерского штаба "Мы вместе" в помощь пожилым гражданам в возрасте от 65 лет и выше, гражданам находящимся на самоизоляции;                                       Организация единых акций по заготовке льда, дерева во всех МО                                                                                                                                                                                                                                                          Организация ежегодной благотворительной акции "Елка До (во всех МО)</t>
  </si>
  <si>
    <t>Маганинский наслег</t>
  </si>
  <si>
    <t>Договор заключен с МУП ЖКС от 17.10.2021 года на 100 тыс.руб</t>
  </si>
  <si>
    <t>Договор заключен ООО "Чагылган" на сумму 15,65 тыс.рб</t>
  </si>
  <si>
    <t>техпаспортизация жилого фонда ул.А.Парфенова,10., Акт сноса МКД С.Данилова,61, копия паспорта РЦТИ</t>
  </si>
  <si>
    <t>Договор заключен с АО "ГСК "Югория"на сумму 46,805т.р.</t>
  </si>
  <si>
    <t>Многодетные</t>
  </si>
  <si>
    <t>Перераспределение: Строда,14/2, С.Коврова,4, С.Данилова,51/1, Молодежная,4, кытылуч.-10</t>
  </si>
  <si>
    <t>Аукцион ЗУ-5 уч.</t>
  </si>
  <si>
    <t>Пятилетки 55/1, Прохорова 27/3, перерасп ДамбаВОС, Илин толоон 15/1</t>
  </si>
  <si>
    <t>Октябрь (церковь),Ленина (новая школа), Дорожная 27 Е, Ленина 8</t>
  </si>
  <si>
    <t>вынос границ</t>
  </si>
  <si>
    <t>Уточнение границ с.Бэсь Кюель</t>
  </si>
  <si>
    <t>Договор заключен с ИП Степановым по межеванию квартала многодетных "Алыцах", 50 лет Победы</t>
  </si>
  <si>
    <t>ИП Степанов А.И.</t>
  </si>
  <si>
    <t>ГУП РЦТИ</t>
  </si>
  <si>
    <t>Содержание муниципального жилого фонда</t>
  </si>
  <si>
    <t>тыс.руб.</t>
  </si>
  <si>
    <t xml:space="preserve">Ведутся претензионные работы по взысканию задолженности арендной платы ИП Платонова А.Д., по состоянию конца года дело передано в суд, процедура ведется. </t>
  </si>
  <si>
    <t>Экономия</t>
  </si>
  <si>
    <t xml:space="preserve">Оценка качества финансового менеджмента главных распорядителей бюджетных средств </t>
  </si>
  <si>
    <t>Запланированный в ноябре конкурс среди старшеклассников 8-10 классов школ улуса по финансовой грамотности в связи с пандемией и актированными днями не проведен, перенесен в марте месяце 2022 года.</t>
  </si>
  <si>
    <t>Увеличение посещаемости культурно-досуговых учреждний</t>
  </si>
  <si>
    <t>1/39*100=2,6</t>
  </si>
  <si>
    <t>21/39*100=53,8</t>
  </si>
  <si>
    <t>Целевые субсидии на выпуск учебно-методического комплекса с учебником и атласом</t>
  </si>
  <si>
    <t>Целевые субсидии на на приобретение токенов и лицензии на проведение ЕГЭ-2022</t>
  </si>
  <si>
    <t>Поощерение лучшего учреждения дополнительного образования по итогам года</t>
  </si>
  <si>
    <t>Материально-техническое обеспечение образовательных учреждений для обеспечения санитарно-эпидемиологической безопасности  (Обеспечение санитарных норм на объектах размещения и питания в рамках подгтовки к Играм Манчаары)</t>
  </si>
  <si>
    <t>Материально-техническое обеспечение образовательных учреждений для обеспечения санитарно-эпидемиологической безопасности  (подключение к централизванным системам водоснабжениям)</t>
  </si>
  <si>
    <t>по ремонту спортивного зала д/с Сардаана конкурс проведен в октябре 2021 г., ремонт планируется провести летом 2022 г.</t>
  </si>
  <si>
    <t>экономия контракта</t>
  </si>
  <si>
    <t>приобретение программного продукта Вижен Софт. Питание в школе 2021</t>
  </si>
  <si>
    <t>приобретение программного продукта Вижен Софт. Питание в детском саду 2021</t>
  </si>
  <si>
    <t>поверка теплосчетчиков д/с Сардаана, Туллукчаана, Кустук</t>
  </si>
  <si>
    <t>остаток 1,9 тыс.руб. - пересчет заработной платы за счет больничных в декабре, 0,85 - возврат командировочных, 35,3 - экономия контракта на приобретение канцтоваров</t>
  </si>
  <si>
    <t>1-10</t>
  </si>
  <si>
    <t>Все 184 выпускников школ получили аттестат.</t>
  </si>
  <si>
    <t xml:space="preserve">средний балл ЕГЭ по русскому языку 67,5. </t>
  </si>
  <si>
    <t>Основная причина невыполнения плана – недостаточная подготовка выпускников</t>
  </si>
  <si>
    <t>Средний балл ЕГЭ - 54, к прошлому году - 108,9%</t>
  </si>
  <si>
    <t>Из 184 выпускников в вузы поступили 71 выпускника, что составляет 38,6%. Причина не выполнения - в связи с изменением в порядке проведения ЕГЭ с 2020 года количество выпускников,  сдающих  в форме ЕГЭ сократилось на половину.</t>
  </si>
  <si>
    <t xml:space="preserve">Из 184 выпускников ОО в ССУЗы поступили 90, что составляет 48%,  из 181 выпускников 9 класса  в ССУЗ-ы поступило  27выпускников (14,9%). </t>
  </si>
  <si>
    <t>Общее количество выпускников - 184, из них , поступивших в ВУЗыи ССУЗы технической направленности - 74, что составляет 40,2%</t>
  </si>
  <si>
    <t>число приглашенных - 35</t>
  </si>
  <si>
    <t>Основная причина невыполнения плана – недостаточная индивидуальная работа с обучающимися.</t>
  </si>
  <si>
    <t xml:space="preserve">В 2021 году центры "Точка роста" созданы в 3 школах Горного улуса: МБОУ «Ертская СОШ им. С.И.Тарасова», «Кировская СОШ» и «Бердигестяхская улусная гимназия». </t>
  </si>
  <si>
    <t>С 2020 г. в улусе учрежден серебряный знак «За особые успехи в обучении», в 2021 г. получили 5 выпускников школ.</t>
  </si>
  <si>
    <t>Федорова Валерия, выпускница МБОУ "БУГ" получила 100 баллов по литературе и 99 баллов по русскому языку</t>
  </si>
  <si>
    <t>Функционируют в МБОУ БУГ, МБОУ БСОШ с УИОП им.А.Н.Осипова.</t>
  </si>
  <si>
    <t>1 класс в МБОУ Магарасская СОШ им. Л.Н.Харитонова, 1 -  МБОУ Маганинская СОШ им. С.И.Тимофеева – Кустуктаанап.</t>
  </si>
  <si>
    <t xml:space="preserve">Центры «Точка роста» открыты: МБОУ БСОШ им.С.П.Данилова, МБОУ БСОШ с УИОП им.А.Н.Осипова, МБОУ Магарасская СОШ им.Л.Н.Харитонова, МБОУ Джикимдинская СОШ им.Софр.П.Данилова. В 2021 году центры "Точка роста" созданы в 3 школах Горного улуса: МБОУ «Ертская СОШ им. С.И.Тарасова», «Кировская СОШ» и «Бердигестяхская улусная гимназия». </t>
  </si>
  <si>
    <t>Увеличение охвата обучающихся за счет открытий Центров «Точка Роста» (МБОУ "Ертская СОШ", МБОУ "Кировская СОШ", МБОУ "БУГ")</t>
  </si>
  <si>
    <t>Проект реализуется в 3 школах: МБОУ БУГ,  МБОУ Кировская СОШ, МБОУ Магарасская СОШ</t>
  </si>
  <si>
    <t>IT rлассы открыты в МБОУ БСОШ им.С.П.Данилова (4 класса), МБОУ БУГ (1 класс), МБОУ с УИОП БСОШ им.А.Осипова (1 класс)</t>
  </si>
  <si>
    <t>Агро - лаборатория - в МБОУ Атамайская СОШ им. В.Д.Лонгинова, МБОУ БСОШ им.С.П.Данилова -  совместная образовательная программа с колледжом связи имени Дудкина</t>
  </si>
  <si>
    <t>По приказу МО и науки РС (Я) № 01-03/584  от 16.04.2021 республиканские инновационные площадки: Кировская, Атамайская, БСОШ с УИОП им А.Осипова, БУГ, Маганинская СОШ, МБДОУ  д/с "Родничок" , ЦРР "Сардаана". ФИП - БСОШ с УИОП им А.Осипова, приказ Министерства просвещения РФ №154 от 01.04.2020. Всего инновационной деятельностью охвачены 172 педагогов от общего числа педагогических работников</t>
  </si>
  <si>
    <t>всего опубликовано в улусных, республиканских, всероссийских изданиях педагогический опыт и статьи 142 педагогов, 26%</t>
  </si>
  <si>
    <t>В 2021-2022 учебном году количество учащихся ОВЗ по улусу всего 167, из них 49 детей по приказу мку уо обучаются на дому, что в процентном соотношении составляет 29.3%. При этом отмечается уменьшение по сравнению с прошедшим учебным годом.</t>
  </si>
  <si>
    <t>прошли курсы ОВЗ- 73 педагогов, 66% от общего числа педагогических работников (112 педагогических работников)</t>
  </si>
  <si>
    <t xml:space="preserve">В текущем году дошкольное образование получают всего  1126 детей, из них дети от 3 до 7 лет  – 877,  по адаптированным образовательным  программам  обучаются 34 детей от 3 до 7лет . </t>
  </si>
  <si>
    <t>В связи с пандемией план не выполнен</t>
  </si>
  <si>
    <t xml:space="preserve">МБОУ Атамайская СОШ им. В.Д.Лонгинова выиграла Грант Президента РФ на сумму 2 000 000,00 рублей на создание агро – лаборатории. </t>
  </si>
  <si>
    <t>15 обучающихся  МБОУ "БСОШ с УИОП", "БСОШ сим. С.П.Данилова",  "БУГ", "Кюереляхская СОШ" прошли в 2021 году непрерывное образование в дистанционной форме</t>
  </si>
  <si>
    <t>Число взрослого населения, охваченного дополнительным образованием</t>
  </si>
  <si>
    <t>по состоянию на 31 декабря 2021 г. данный показатель составляет 84,79 % (1985 детей из 2341) согласно АИС "Навигатор дополнительного образования"</t>
  </si>
  <si>
    <t>По состоянию на 31.12.2021 г. показатель составляет 20,91% (491 детей из 2341) согласно АИС "Навигатор дополнительного образования"</t>
  </si>
  <si>
    <t>С апреля 2020 года на платформах "Проектория", "Билет в будущее" открытые уроки в связи с эпидемиологической ситуацией не были проведены. Последний урок был проведен 23 апреля 2020 г.</t>
  </si>
  <si>
    <t xml:space="preserve">По итогам муниципального этапа на региональный этап WSR приняли участие 22 конкурсанта по следующим компетенциям: Видеопроизводство, Конский волос, Столярное дело, Кулинарное дело, Туризм, Веб-дизайн, Графический дизайн, Гончарное дело, Мультимедийная журналистика, Кибербезопасность, Агрономия, Лабораторный химический анализ, Ремонт и обслуживание легковых автомобилей, Изготовление прототипов, Инженерия космических систем, Сетевое и системное администрирование, Технология моды  </t>
  </si>
  <si>
    <t>В муниципальном этапе конкурса «Моя профессия IT» приняли участие 39 детей (13 команд)</t>
  </si>
  <si>
    <t xml:space="preserve">На 11.11.2021 г. данный показатель равен 331 детей, согласно Сводного стат отчета деятельности детского движения </t>
  </si>
  <si>
    <t xml:space="preserve">В 2021 году в связи с ограничениями, связанными с профилактикой распространения COVID-19, массового приема сдачи нормативов ГТО проведено не было. </t>
  </si>
  <si>
    <t>По состоянию на 31.12.2021 г. доля детей составляет 55,36% (1296 детей из 2341)</t>
  </si>
  <si>
    <t>Данный показатель - 0, так как Комплексная спартакиада учащихся не проводилась в период 2019-2021 гг. в связи с эпидемиологической ситуацией</t>
  </si>
  <si>
    <t>По состоянию на 26.01.2022 г. данный показатель составляет 163 ребенка, согласно данным предоставленным регоинальным оператором АИС "Юнармия"</t>
  </si>
  <si>
    <t>По состоянию на 31.12.2021 г. показатель составляет 17,12% (401 детей из 2341)</t>
  </si>
  <si>
    <t xml:space="preserve">Прошли повышение квалификации 28  руководителей от общего количества  руководителей  (29 рук) ОО Горного улуса </t>
  </si>
  <si>
    <t>Всего повысили квалификацию 436 педагогов (77,5%)  от общего числа педагогов Горного улуса (562 педагог)</t>
  </si>
  <si>
    <t xml:space="preserve">По итогам 2021 года все руководители аттестованы на соответствие занимаемой должности </t>
  </si>
  <si>
    <t>В рамках национальной  системы   профессионального роста  педагогических работников приняли участие в профессиональных конкурсах 102 педагога, что составляет 18,1% от общего числа педагогов (562 педагог)</t>
  </si>
  <si>
    <t>В форматах непрерывного образования повысили уровень квалификации 54 педагогов, что составляет 14,7% от общего числа учитлей (366) на фундаментальных курсах</t>
  </si>
  <si>
    <t>23 педагогов прошли  тестирование профессиональных предметных компетенций ИРО ИПК РС(Я).</t>
  </si>
  <si>
    <t>По итогам 12 месяцев на 2021-2022 учебный год в образовательных учреждениях Горного улуса осталась одна вакансия в Кептинской СОШ, учитель математики</t>
  </si>
  <si>
    <t xml:space="preserve">Как показывает мониторинг обеспечения кадрами ежегодно в среднем прибывает 15-18 молодых специалистов. Но все равно остается неизменной проблема текучести и дефицита  кадров. По данным на 01 января 2022 года из числа педагогов, прибывших в 2018, 2019, 2020 году продолжают работать только 15 педагогов. </t>
  </si>
  <si>
    <t>В 2021 году за подготовку 100-бальника, Премию учителю 100-бальника получила Леверьева Екатерина Семеновна, учитель русского языка и литературы МБОУ «Бердигестяхская улусная гимназия», ее ученица Федорова Валерия получила 100 баллов по литературе и 99 баллов по русскому языку.</t>
  </si>
  <si>
    <t>Общий охват детей - 1730 детей  из 2312</t>
  </si>
  <si>
    <t>В Горном улусе   проживают 1600 детей и подростков в возрасте от 6,6 до 17 лет  находящихся в трудной жизненной ситуации . Охват летним отдыхом детей из ТЖС  составляет  1600 детей.</t>
  </si>
  <si>
    <t>Проведен ремонт базы ЛТО "Солнышко" МБОУ Джикимдинская СОШ им. Софр.П. Данилова"</t>
  </si>
  <si>
    <t xml:space="preserve">По данным статистической отчетности ОО-1 в первую смену учится 1739 учащихся из 2341, доля обуч в первую смену составляет 74,2% </t>
  </si>
  <si>
    <t xml:space="preserve">Введенный в 2021 г. объект «Многофункциональный спортивный зал в с.Бердигестях Горного улуса» передан МБУ ДО ДЮСШ, приобретено здание для ЦДО </t>
  </si>
  <si>
    <t xml:space="preserve">По состоянию на 31.12.2021 года из 29 зданий образовательных организаций количество ветхих зданий составляет 12 единиц, из них 6 школ, 5 детских садов и 1 организация дополнительного образования. </t>
  </si>
  <si>
    <t xml:space="preserve">Повышение доли общей площади жилых помещений в сельских населенных пунктах, оборудованной всеми видами благоустройства (водопроводом, водоотведением, отоплением (за исключением печного отопления), ваннами (душем), горячим </t>
  </si>
  <si>
    <t>объект Канализационное очистное сооружение производительностью 300 м3/сутки в с. Бердигестях Горного улуса» введен в эксплуатацию 31.05.2021 г. срок реализации – 2020-2021 гг. . 
В 2021 году предусмотрено всего 52 503,74тыс.руб., в т.ч. из средств: ФБ – 48 303,44 тыс. руб., ГБ РС (Я) – 3 675,26 тыс. руб., местного бюджета – 525,04 тыс. руб.</t>
  </si>
  <si>
    <t>Гости Игр Манчаары</t>
  </si>
  <si>
    <t>данные ФКУ</t>
  </si>
  <si>
    <t xml:space="preserve">3 нежилых помещений, приобретенных по муниципальному контракту №01/21-ЕП от 25.06.2021 г. по адресам: с.Бердигестях, ул.С.Коврова, 9, 8 объектов недвижимого имущества по муниципальному контракту №05/20-ЭА от 03.03.2020 находящихся по адресу участок "Турацнаах" Бердигестяхского наслега, 1 нежилое здание на основании договора купли продажи№2 от 28.12.2020 г. по адресу: с.Бердигестях ул.Таежная 2в, 2 нежилых объекта по договору купли -продажи недвижимого имущества №50003759419 от 07.09.2021 г., по адресу с.Бердигестях ул.Яковлева д.23, 1 нежилое здание - гараж по Распоряжению МИЗО РС(Я) №-1722 от 27.08.2021г. </t>
  </si>
  <si>
    <t>Маганинский наслег с.Тонгулах СП, Кировский наслег, Одунунский наслег с.Харыялаах, Атамайский наслег, Бердигестях ВОС</t>
  </si>
  <si>
    <t>Разработаны 2 проекта водоочистных станций в с.Кептин и с.Кюерелях</t>
  </si>
  <si>
    <t>Отсутствуют соответствующие жилые помещения детям-сиротам по нормам, установленным законодательством  Российской Федерации</t>
  </si>
  <si>
    <t xml:space="preserve">стат данные </t>
  </si>
  <si>
    <t>На реализацию МП не предусмотрены денежные средства в бюджете МР</t>
  </si>
  <si>
    <t xml:space="preserve">Гаражи ОУ в с.Атамай, с.Кюерелях, с.Кировский </t>
  </si>
  <si>
    <t xml:space="preserve">На основании муниципального контракта №01/21-ОКЭФ от 05.04.2021г. АО "Сахагипрозем" выполняет комплексные кадастровые работы в отношении кадастровых кварталов 14:11:050001, 14:11:060001, в сумме 1200т.р., муниципального контракта №3/2-21 от 12.04.2021 г. на выполнение коплексных кадастровых работ в отношении кадастровых кварталов 14:11:020004, 14:11:050002 в сумме 599,00 т.р. (с.Дикимдя, с.Кептин, с.Тонгулах Малтанинского наслега, с.Май Бердигестяхский наслег) </t>
  </si>
  <si>
    <t>Постановка на ГКН границ населенных пунктов выполнен, согласно контракта РЦТИ с МИЗО РС(Я) в с.Бясь-Кюель</t>
  </si>
  <si>
    <t>оценочный показатель</t>
  </si>
  <si>
    <t>Всего 20 ОМСУ, КСО - нет электронного документооборота между ОМСУ</t>
  </si>
  <si>
    <t>9 - микрозайм Фонд поддержи малого предпринимательства Горного улуса, 6 - субсидия Адинистрации МР Горный улус, 5 - Министерство предпринимательства, торговли и туризма РС (Я), 2 - Фонд развития предпринимательства РС(Я). Невыполнение плана связано с ограниченным финансированием из государственного бюджета РС (Я). Также можно оценить это с установлением повышенного планового показателя.</t>
  </si>
  <si>
    <t>Невыполнение плана связано с внесением изменений в перечень муниципального имущества для передачи в аренду субъектам малого предпринимательства, исключены из перечня оборудования пищеблока, в связи с передачей оборудований в образовательные учреждения и с сносом объекта пищеблока. Будет проведена планомерная работа с муниципальных образований по утверждению перечней муниципального имущества в поселениях.</t>
  </si>
  <si>
    <t>По состоянию на 01.01.2022 года в органах местного самоуправления Горного улуса работают 91 человек, из них 39 с образованием "Государственное и муниципальное управление" 39/91*100=42,8</t>
  </si>
  <si>
    <t xml:space="preserve">По представлению </t>
  </si>
  <si>
    <t>данные ГБУ Горная ЦРБ. За 2021 год  медосмотр прошли всего 2009 человек, из них 1414 женщины , мужчины 595. Из них, занятых на вредных условиях труда 238.</t>
  </si>
  <si>
    <t>Всего 98 участников, 25 проектов получили грантовые поддержки 25/98*100=25,51</t>
  </si>
  <si>
    <t>В среднем на 1 проект число выгодоприобретателей 700-1000 человек. Среднее значение выгодоприобретателей (700+1000)/2=850, 850*25/1000=21,25ед.</t>
  </si>
  <si>
    <t>опрос на странице Instagram Администрации МР Горный улус</t>
  </si>
  <si>
    <t>Договор заключен ООО "Чагылган" для установки  противопожарных оборудований в МКД по адресу: с.Бердигестях, ул.А.Парфенова,10</t>
  </si>
  <si>
    <t>Пионерская 1А, С. Данилова 49Б, Дорожная 25/3, Н. Прохорова 27/3, Строда 14/2, Молодежная, 4, Н. Прохорова 30, С.Данилова, 51/1, Ленина, 12/1</t>
  </si>
  <si>
    <t>Проведены кадастровые работы квартала многодетных "Алыцах"и 50 лет Победы</t>
  </si>
  <si>
    <t>План доходов от сдачи в аренды неразграниченных земельных участков 2 500,0 тыс руб выполнение 3 077,06 тыс.руб, выполнение 123,08%.</t>
  </si>
  <si>
    <t xml:space="preserve">МО Кировский наслег включены 5 з/у - 119,30 га, МР "Горный улус" 27 з/у - 171,33га,  МО Одунунский наслег 2 з/у - 377,46га. Всего 668,09 га </t>
  </si>
  <si>
    <t>Общая сумма просроченной задолженности на 01.01.2020- 2 424,0 тыс.руб.Остаток просроченной задолженности на 01.01.2022 г.- 779,43 тыс.руб.</t>
  </si>
  <si>
    <t>Общая сумма просроченной задолженности на 01.01.2020- 2631,18 тыс.руб.Остаток просроченной задолженности на 01.01.2022 г.- 230,41 тыс.руб.</t>
  </si>
  <si>
    <t>31337/50122,2*100=62,52</t>
  </si>
  <si>
    <t>стат данные</t>
  </si>
  <si>
    <t>Всего в программу развития инициативного бюджетирования  подано 13 заявок, учатие приняли 8 МО (кроме МО "Атамайский наслег", МР</t>
  </si>
  <si>
    <t>Из 13 заявок в программу развития инициативного бюджетирования  прошли 9 заявок. 9/13*100=69,23</t>
  </si>
  <si>
    <t>По представлению отчетов инструкторов по спорту зарегистрировано 54,3 % от населения, т.е. 6 662 человек систематически занимаются физкультурой и спортом, из них школьники, в возрасте от 7-18 лет – 2308 детей, от 3-7 лет – 1159 детей. (12264 чел.)</t>
  </si>
  <si>
    <t>Доля граждан, систематически занимающихся национальными видами спорта: по плану 12,1%, по факту – 24,6 %, 2977 человек, из них 1078 школьников.</t>
  </si>
  <si>
    <t>Чемпионат РС(Я) -17, Первенства РС(Я) - 12, Чемпионат ДВФО-2, Чемпионат России - 8 Первенство России - 1, Кубок России - 1, Чемпионат Европы по гиревому спорту – Оленов Владимир, 3 место,  Первенство мира по шашкам – Федорова Тунаара, 1 место среди женщин, Алексеева Дайаана, 1 место среди девушек-юниоров. На XXI Спартакиаде по национальным видам спорта «Игры Манчаары» в селе Бердигестях завоевано всего 21 медаль разного достоинства.</t>
  </si>
  <si>
    <t>Уровень обеспеченности населения спортивными сооружениями исходя из единовременной пропускной способности объектов спорта: по плану – 54 спортивных объекта, по факту 55 объектов.</t>
  </si>
  <si>
    <t>По факту 58,62% - 568 человек занимаются ФКиС. Общее количество 969 человек с инвалидностью (лица с ОВЗ, ПОДА, нарушением зрения и слуха, ЛИН – лица с интеллектуальными нарушениями).</t>
  </si>
  <si>
    <t>Оценка эффективности реализации ведомственных целевых и муниципальных программ МР "Горный улус" за  2021 год</t>
  </si>
  <si>
    <t xml:space="preserve">ремонт дороги Орто-Сурт-Кептин </t>
  </si>
  <si>
    <t>мост Бердигестях-Ерт Улуу-Урэх, Майыкаан с.Дикимдя.</t>
  </si>
  <si>
    <t>по перечню автомобильных дорог Горного улуса</t>
  </si>
  <si>
    <t xml:space="preserve">Гос отчет 7НК </t>
  </si>
  <si>
    <t>Муниципальная программа «Развитие  дорожного хозяйства в МР «Горный улус» на 2020-2024 годы»</t>
  </si>
  <si>
    <t xml:space="preserve">1.Танцевальный коллектив "Кырдал" ЦД им.Егорова международный фестиваль "Петровский парадиз" в г.Санкт-Петербурге, 2.Народный оркестр "Кылыьах" международный конкурс "Приношение маэстро", 3.Фольклорный ансамбль "Алгыс" международный тур интернационального проекта "Таланты Евразии-2021",   4. Фольклорный ансамбль "Алгыс" - Всероссийский фестиваль искусства и творчества "Летние грани творчества", 5. Бердигестяхский народный театр Всероссийский  фестиваль народных театров в г.Хабаровске.  </t>
  </si>
  <si>
    <t>Локальная база данных OPAС</t>
  </si>
  <si>
    <t>Госстат.отчет 6-НК</t>
  </si>
  <si>
    <t>Федеральный проект "Культурная среда"</t>
  </si>
  <si>
    <t>Архив</t>
  </si>
  <si>
    <t>Гос. стат. отчет 8-НК</t>
  </si>
  <si>
    <t>финансирование на 2021 г. не предусмотрено в связи с играми Манчаары</t>
  </si>
  <si>
    <t>Гос. стат. отчет 1-ДО</t>
  </si>
  <si>
    <t>Перевод котельных на газовое топливо в 2021 году силами ГУП «ЖКХ РС(Я)» выполнены  на котельных «Баня», Аэропорт» с учетом оптимизации котельной «Ветстанция», «Квартал №38» и котельная «Детсад» с.Бердигестях.</t>
  </si>
  <si>
    <t xml:space="preserve">По данным УСЗН по улусу в персонифицированном учете состоят 644 домохозяйств, особо нуждающихся в социальной поддержке. Всего граждан в домохозяйствах – 3647 человек, это составляет 17,66% от всего численности населения.  </t>
  </si>
  <si>
    <t>Муниципальная программа  «Семейная политика в Горном улусе на 2020-2024 годы»</t>
  </si>
  <si>
    <t>Муниципальная программа  «Старшее поколение Горного улуса на 2020-2024 годы»</t>
  </si>
  <si>
    <t>Муниципальная программа «Содействие развитию институтов гражданского общества, поддержка социально ориентированных некоммерческих организаций и территориальных общественных самоуправлений в Горном улусе на 2021-2025 годы»</t>
  </si>
  <si>
    <t>Муниципальная программа «Обеспечение безбарьерной среды жизнедеятельности инвалидов в Горном улусе на 2020 - 2024 годы»</t>
  </si>
  <si>
    <t>Муниципальная программа «Профилактика правонарушений в Горном улусе на 2020-2024 годы»</t>
  </si>
  <si>
    <t>Ведомственная целевая программа «Развитие информационного общества в МР "Горный улус" на 2020-2024 годы»</t>
  </si>
  <si>
    <t>Муниципальная программа «Развитие предпринимательства и туризма в Горном улусе на 2020-2024 годы»</t>
  </si>
  <si>
    <t xml:space="preserve">Муниципальная программа «Развитие физической культуры и спорта в МР «Горный улус» на 2018-2024 годы» </t>
  </si>
  <si>
    <t>Муниципальная программа «Молодежная политика Горного улуса на 2020 - 2024 годы»</t>
  </si>
  <si>
    <t>Муниципальная программа «Охрана окружающей среды в Горном улусе  на 2017-2024 годы»</t>
  </si>
  <si>
    <t>Муниципальная программа «Управление муниципальной собственностью МР "Горный улус"  на 2020-2024 годы»</t>
  </si>
  <si>
    <t xml:space="preserve">Муниципальная программа «Энергосбережение на территории МР "Горный улус" на 2020-2024 годы» </t>
  </si>
  <si>
    <t>Муниципальная программа «Комплексное развитие сельских территорий в Горном улусе на 2020-2025 годы»</t>
  </si>
  <si>
    <t>Муниципальная программа «Создание условий для духовно-культурного развития граждан  Горного улуса  на 2020 - 2024 годы»</t>
  </si>
  <si>
    <t>Муниципальная программа «Развитие образования муниципального района  «Горный улус» на 2020-2024 годы»</t>
  </si>
  <si>
    <t xml:space="preserve">Муниципальная программа «Развитие сельскохозяйственного производства Горного улуса РС(Я) на 2021-2025 годы» </t>
  </si>
  <si>
    <t>Муниципальная программа «Газификация населенных пунктов муниципального района «Горный улус» на 2019-2023 годы»</t>
  </si>
  <si>
    <t>Ведомственная целевая программа «Повышение эффективности управления муниципальными финансами муниципального района «Горный улус» на 2020-2024 годы»</t>
  </si>
  <si>
    <t xml:space="preserve">из сайта Единый реестр субъектов малого и среднего предпринимательства 44 малые предприятия, </t>
  </si>
  <si>
    <t>По социальному найму всего 47 квартир в с.Бердигестях ул.С.Данилов 51а</t>
  </si>
  <si>
    <t>Канализационные очистные сооружения в с.Бердигестях, Газификация 1 и 2 пусковые комплексы</t>
  </si>
  <si>
    <t>[197 (Количество родившихся) - 121 (Количество смерности)]/12206 (численность населения)*1000=48/12,206=6,23</t>
  </si>
  <si>
    <t>39 (разод)/ 54 (брак)*1000/100=7,2</t>
  </si>
  <si>
    <t>6489,4 (аварийная площадь)/167000 (общий жилищный фонд)*100=3,88</t>
  </si>
  <si>
    <t>Ведомственная целевая программа "Охрана труда в МР «Горный улус» на 2020-2024годы"</t>
  </si>
  <si>
    <t>№1.1. Развитие жилищного строительства на сельских территориях и повышение уровня благоустройства домовладений</t>
  </si>
  <si>
    <t>Региональный проект</t>
  </si>
  <si>
    <t>6 место</t>
  </si>
  <si>
    <t>Взаимные индикаторы. Всего детей до 3 лет - 407, из них получающие дошкольное образование - 274, в очереди- 133 (274/407*100=67,3%). Все остальные дети до 3-х лет, не охваченные дошкольным образованием, посещают консультационно-методические центры при детских садах</t>
  </si>
  <si>
    <t xml:space="preserve">Уточнено в бюджете на 2021 год (тыс.руб.) </t>
  </si>
  <si>
    <t>об исполнении ведомственных целевых и муниципальных программ МР "Горный улус" по состоянию на 2021 г.</t>
  </si>
  <si>
    <t>Учетный регистр</t>
  </si>
  <si>
    <t>для количественной оценки</t>
  </si>
  <si>
    <t>эффективности реализации программы</t>
  </si>
  <si>
    <t>на  2021 год</t>
  </si>
  <si>
    <t>Критерий (К)</t>
  </si>
  <si>
    <t>Весовой коэффициент критерия(Gi)</t>
  </si>
  <si>
    <t>Количественная оценка параметра (W)</t>
  </si>
  <si>
    <t xml:space="preserve">Расчет оценочного показателя по каждому критерию (Gi * Wi),ед. (балл)
</t>
  </si>
  <si>
    <r>
      <t>Количественная интегральная оценка эффективности программы (Э</t>
    </r>
    <r>
      <rPr>
        <vertAlign val="subscript"/>
        <sz val="12"/>
        <rFont val="Times New Roman"/>
        <family val="1"/>
        <charset val="204"/>
      </rPr>
      <t>кол.</t>
    </r>
    <r>
      <rPr>
        <sz val="12"/>
        <rFont val="Times New Roman"/>
        <family val="1"/>
        <charset val="204"/>
      </rPr>
      <t>)</t>
    </r>
  </si>
  <si>
    <t>на 2021 год</t>
  </si>
  <si>
    <t>на 2021год</t>
  </si>
  <si>
    <t>Расчет оценочного показателя по каждому критерию (Gi * Wi),ед. (балл)</t>
  </si>
  <si>
    <t>на 2021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</si>
</sst>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 _₽_-;\-* #,##0.00\ _₽_-;_-* &quot;-&quot;??\ _₽_-;_-@_-"/>
    <numFmt numFmtId="165" formatCode="0.0"/>
    <numFmt numFmtId="166" formatCode="0.000"/>
    <numFmt numFmtId="167" formatCode="#,##0.0"/>
    <numFmt numFmtId="168" formatCode="_-* #,##0.00_р_._-;\-* #,##0.00_р_._-;_-* &quot;-&quot;??_р_._-;_-@_-"/>
    <numFmt numFmtId="169" formatCode="#,##0.000"/>
    <numFmt numFmtId="170" formatCode="[$-F400]h:mm:ss\ AM/PM"/>
    <numFmt numFmtId="171" formatCode="_-* #,##0.00&quot;р.&quot;_-;\-* #,##0.00&quot;р.&quot;_-;_-* &quot;-&quot;??&quot;р.&quot;_-;_-@_-"/>
    <numFmt numFmtId="172" formatCode="#,##0.00\ _₽"/>
    <numFmt numFmtId="173" formatCode="_-* #,##0\ _₽_-;\-* #,##0\ _₽_-;_-* &quot;-&quot;??\ _₽_-;_-@_-"/>
  </numFmts>
  <fonts count="52" x14ac:knownFonts="1">
    <font>
      <sz val="11"/>
      <color theme="1"/>
      <name val="Calibri"/>
      <family val="2"/>
      <charset val="204"/>
      <scheme val="minor"/>
    </font>
    <font>
      <b/>
      <sz val="11"/>
      <color theme="1"/>
      <name val="Calibri"/>
      <family val="2"/>
      <charset val="204"/>
      <scheme val="minor"/>
    </font>
    <font>
      <b/>
      <sz val="10"/>
      <name val="Times New Roman"/>
      <family val="1"/>
      <charset val="204"/>
    </font>
    <font>
      <sz val="10"/>
      <name val="Times New Roman"/>
      <family val="1"/>
      <charset val="204"/>
    </font>
    <font>
      <b/>
      <vertAlign val="subscript"/>
      <sz val="10"/>
      <name val="Times New Roman"/>
      <family val="1"/>
      <charset val="204"/>
    </font>
    <font>
      <sz val="10"/>
      <color indexed="8"/>
      <name val="Times New Roman"/>
      <family val="1"/>
      <charset val="204"/>
    </font>
    <font>
      <b/>
      <sz val="10"/>
      <color indexed="8"/>
      <name val="Times New Roman"/>
      <family val="1"/>
      <charset val="204"/>
    </font>
    <font>
      <b/>
      <sz val="12"/>
      <name val="Times New Roman"/>
      <family val="1"/>
      <charset val="204"/>
    </font>
    <font>
      <sz val="12"/>
      <name val="Times New Roman"/>
      <family val="1"/>
      <charset val="204"/>
    </font>
    <font>
      <vertAlign val="subscript"/>
      <sz val="10"/>
      <name val="Times New Roman"/>
      <family val="1"/>
      <charset val="204"/>
    </font>
    <font>
      <sz val="11"/>
      <color theme="1"/>
      <name val="Calibri"/>
      <family val="2"/>
      <charset val="204"/>
      <scheme val="minor"/>
    </font>
    <font>
      <sz val="12"/>
      <color theme="1"/>
      <name val="Times New Roman"/>
      <family val="1"/>
      <charset val="204"/>
    </font>
    <font>
      <b/>
      <i/>
      <sz val="12"/>
      <color theme="1"/>
      <name val="Times New Roman"/>
      <family val="1"/>
      <charset val="204"/>
    </font>
    <font>
      <i/>
      <sz val="12"/>
      <color theme="1"/>
      <name val="Times New Roman"/>
      <family val="1"/>
      <charset val="204"/>
    </font>
    <font>
      <sz val="10"/>
      <color indexed="8"/>
      <name val="Arial Cyr"/>
      <family val="2"/>
      <charset val="204"/>
    </font>
    <font>
      <sz val="10"/>
      <color rgb="FF000000"/>
      <name val="Times New Roman"/>
      <family val="1"/>
      <charset val="204"/>
    </font>
    <font>
      <b/>
      <sz val="12"/>
      <color theme="1"/>
      <name val="Times New Roman"/>
      <family val="1"/>
      <charset val="204"/>
    </font>
    <font>
      <sz val="10"/>
      <name val="Arial Cyr"/>
      <charset val="204"/>
    </font>
    <font>
      <sz val="12"/>
      <color indexed="8"/>
      <name val="Times New Roman"/>
      <family val="1"/>
      <charset val="204"/>
    </font>
    <font>
      <b/>
      <sz val="12"/>
      <color indexed="8"/>
      <name val="Times New Roman"/>
      <family val="1"/>
      <charset val="204"/>
    </font>
    <font>
      <sz val="12"/>
      <color rgb="FF000000"/>
      <name val="Times New Roman"/>
      <family val="1"/>
      <charset val="204"/>
    </font>
    <font>
      <sz val="14"/>
      <color theme="1"/>
      <name val="Calibri"/>
      <family val="2"/>
      <charset val="204"/>
      <scheme val="minor"/>
    </font>
    <font>
      <i/>
      <sz val="12"/>
      <name val="Times New Roman"/>
      <family val="1"/>
      <charset val="204"/>
    </font>
    <font>
      <b/>
      <sz val="10"/>
      <color rgb="FF000000"/>
      <name val="Arial CYR"/>
      <family val="2"/>
    </font>
    <font>
      <b/>
      <sz val="10"/>
      <color rgb="FF000000"/>
      <name val="Arial CYR"/>
    </font>
    <font>
      <b/>
      <sz val="12"/>
      <color rgb="FF000000"/>
      <name val="Times New Roman"/>
      <family val="1"/>
      <charset val="204"/>
    </font>
    <font>
      <sz val="10"/>
      <name val="Arial"/>
      <family val="2"/>
      <charset val="204"/>
    </font>
    <font>
      <i/>
      <sz val="12"/>
      <color rgb="FF000000"/>
      <name val="Times New Roman"/>
      <family val="1"/>
      <charset val="204"/>
    </font>
    <font>
      <sz val="12"/>
      <color rgb="FFFF0000"/>
      <name val="Times New Roman"/>
      <family val="1"/>
      <charset val="204"/>
    </font>
    <font>
      <b/>
      <sz val="12"/>
      <color rgb="FFFF0000"/>
      <name val="Times New Roman"/>
      <family val="1"/>
      <charset val="204"/>
    </font>
    <font>
      <i/>
      <sz val="12"/>
      <color rgb="FFFF0000"/>
      <name val="Times New Roman"/>
      <family val="1"/>
      <charset val="204"/>
    </font>
    <font>
      <sz val="10"/>
      <color rgb="FFFF0000"/>
      <name val="Times New Roman"/>
      <family val="1"/>
      <charset val="204"/>
    </font>
    <font>
      <sz val="11"/>
      <color rgb="FF006100"/>
      <name val="Calibri"/>
      <family val="2"/>
      <charset val="204"/>
      <scheme val="minor"/>
    </font>
    <font>
      <b/>
      <sz val="11"/>
      <color rgb="FF3F3F3F"/>
      <name val="Calibri"/>
      <family val="2"/>
      <charset val="204"/>
      <scheme val="minor"/>
    </font>
    <font>
      <sz val="11"/>
      <color theme="1"/>
      <name val="Times New Roman"/>
      <family val="1"/>
      <charset val="204"/>
    </font>
    <font>
      <sz val="11"/>
      <color indexed="8"/>
      <name val="Calibri"/>
      <family val="2"/>
      <charset val="204"/>
    </font>
    <font>
      <sz val="11"/>
      <color theme="1"/>
      <name val="Calibri"/>
      <family val="2"/>
      <scheme val="minor"/>
    </font>
    <font>
      <sz val="12"/>
      <name val="Arial Cyr"/>
      <charset val="204"/>
    </font>
    <font>
      <sz val="10"/>
      <color rgb="FF000000"/>
      <name val="Arial Cyr"/>
      <family val="2"/>
    </font>
    <font>
      <b/>
      <sz val="12"/>
      <color rgb="FF000000"/>
      <name val="Arial Cyr"/>
      <family val="2"/>
    </font>
    <font>
      <sz val="10"/>
      <name val="Helv"/>
    </font>
    <font>
      <sz val="11"/>
      <color theme="1"/>
      <name val="Segoe UI"/>
      <family val="2"/>
    </font>
    <font>
      <sz val="10"/>
      <color rgb="FF000000"/>
      <name val="Arial Cyr"/>
    </font>
    <font>
      <sz val="11"/>
      <color rgb="FF9C5700"/>
      <name val="Calibri"/>
      <family val="2"/>
      <charset val="204"/>
      <scheme val="minor"/>
    </font>
    <font>
      <sz val="11"/>
      <name val="Times New Roman"/>
      <family val="1"/>
      <charset val="204"/>
    </font>
    <font>
      <b/>
      <i/>
      <sz val="12"/>
      <name val="Times New Roman"/>
      <family val="1"/>
      <charset val="204"/>
    </font>
    <font>
      <sz val="14"/>
      <name val="Times New Roman"/>
      <family val="1"/>
      <charset val="204"/>
    </font>
    <font>
      <sz val="7"/>
      <name val="Times New Roman"/>
      <family val="1"/>
      <charset val="204"/>
    </font>
    <font>
      <i/>
      <sz val="11"/>
      <name val="Times New Roman"/>
      <family val="1"/>
      <charset val="204"/>
    </font>
    <font>
      <i/>
      <sz val="11"/>
      <color theme="1"/>
      <name val="Times New Roman"/>
      <family val="1"/>
      <charset val="204"/>
    </font>
    <font>
      <vertAlign val="subscript"/>
      <sz val="12"/>
      <name val="Times New Roman"/>
      <family val="1"/>
      <charset val="204"/>
    </font>
    <font>
      <b/>
      <sz val="10"/>
      <color theme="1"/>
      <name val="Times New Roman"/>
      <family val="1"/>
      <charset val="204"/>
    </font>
  </fonts>
  <fills count="1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indexed="9"/>
        <bgColor indexed="8"/>
      </patternFill>
    </fill>
    <fill>
      <patternFill patternType="solid">
        <fgColor theme="9" tint="0.59999389629810485"/>
        <bgColor indexed="64"/>
      </patternFill>
    </fill>
    <fill>
      <patternFill patternType="solid">
        <fgColor rgb="FFCCFFFF"/>
      </patternFill>
    </fill>
    <fill>
      <patternFill patternType="solid">
        <fgColor theme="6"/>
        <bgColor indexed="64"/>
      </patternFill>
    </fill>
    <fill>
      <patternFill patternType="solid">
        <fgColor rgb="FFFFFFFF"/>
        <bgColor rgb="FF000000"/>
      </patternFill>
    </fill>
    <fill>
      <patternFill patternType="solid">
        <fgColor theme="9" tint="0.79998168889431442"/>
        <bgColor indexed="64"/>
      </patternFill>
    </fill>
    <fill>
      <patternFill patternType="solid">
        <fgColor rgb="FFC6EFCE"/>
      </patternFill>
    </fill>
    <fill>
      <patternFill patternType="solid">
        <fgColor rgb="FFFFEB9C"/>
      </patternFill>
    </fill>
    <fill>
      <patternFill patternType="solid">
        <fgColor rgb="FFF2F2F2"/>
      </patternFill>
    </fill>
    <fill>
      <patternFill patternType="solid">
        <fgColor rgb="FFFFFFCC"/>
      </patternFill>
    </fill>
    <fill>
      <patternFill patternType="solid">
        <fgColor indexed="65"/>
        <bgColor indexed="64"/>
      </patternFill>
    </fill>
    <fill>
      <patternFill patternType="solid">
        <fgColor theme="9"/>
        <bgColor indexed="64"/>
      </patternFill>
    </fill>
    <fill>
      <patternFill patternType="solid">
        <fgColor theme="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27">
    <xf numFmtId="0" fontId="0" fillId="0" borderId="0"/>
    <xf numFmtId="0" fontId="14" fillId="0" borderId="0"/>
    <xf numFmtId="0" fontId="10" fillId="0" borderId="0"/>
    <xf numFmtId="0" fontId="10" fillId="0" borderId="0"/>
    <xf numFmtId="0" fontId="10" fillId="0" borderId="0"/>
    <xf numFmtId="9" fontId="10" fillId="0" borderId="0" applyFont="0" applyFill="0" applyBorder="0" applyAlignment="0" applyProtection="0"/>
    <xf numFmtId="0" fontId="17" fillId="0" borderId="0"/>
    <xf numFmtId="0" fontId="17" fillId="0" borderId="0"/>
    <xf numFmtId="0" fontId="14" fillId="0" borderId="0"/>
    <xf numFmtId="0" fontId="21" fillId="0" borderId="0"/>
    <xf numFmtId="0" fontId="10" fillId="0" borderId="0"/>
    <xf numFmtId="0" fontId="10" fillId="0" borderId="0"/>
    <xf numFmtId="0" fontId="10" fillId="0" borderId="0"/>
    <xf numFmtId="165" fontId="15" fillId="0" borderId="0">
      <alignment vertical="top" wrapText="1"/>
    </xf>
    <xf numFmtId="0" fontId="10" fillId="0" borderId="0"/>
    <xf numFmtId="0" fontId="10" fillId="0" borderId="0"/>
    <xf numFmtId="0" fontId="10" fillId="0" borderId="0"/>
    <xf numFmtId="168" fontId="10" fillId="0" borderId="0" applyFont="0" applyFill="0" applyBorder="0" applyAlignment="0" applyProtection="0"/>
    <xf numFmtId="4" fontId="23" fillId="8" borderId="8">
      <alignment horizontal="right" vertical="top" shrinkToFit="1"/>
    </xf>
    <xf numFmtId="0" fontId="24" fillId="8" borderId="8">
      <alignment horizontal="right" vertical="top" shrinkToFit="1"/>
    </xf>
    <xf numFmtId="0" fontId="26" fillId="0" borderId="0"/>
    <xf numFmtId="0" fontId="10" fillId="0" borderId="0"/>
    <xf numFmtId="170" fontId="24" fillId="8" borderId="8">
      <alignment horizontal="right" vertical="top" shrinkToFit="1"/>
    </xf>
    <xf numFmtId="0" fontId="23" fillId="0" borderId="8">
      <alignment vertical="top" wrapText="1"/>
    </xf>
    <xf numFmtId="168" fontId="35" fillId="0" borderId="0" applyFont="0" applyFill="0" applyBorder="0" applyAlignment="0" applyProtection="0"/>
    <xf numFmtId="168" fontId="35" fillId="0" borderId="0" applyFont="0" applyFill="0" applyBorder="0" applyAlignment="0" applyProtection="0"/>
    <xf numFmtId="4" fontId="24" fillId="8" borderId="8">
      <alignment horizontal="right" vertical="top" shrinkToFit="1"/>
    </xf>
    <xf numFmtId="164" fontId="10" fillId="0" borderId="0" applyFont="0" applyFill="0" applyBorder="0" applyAlignment="0" applyProtection="0"/>
    <xf numFmtId="0" fontId="21" fillId="0" borderId="0"/>
    <xf numFmtId="168" fontId="10" fillId="0" borderId="0" applyFont="0" applyFill="0" applyBorder="0" applyAlignment="0" applyProtection="0"/>
    <xf numFmtId="0" fontId="36" fillId="0" borderId="0"/>
    <xf numFmtId="0" fontId="38" fillId="0" borderId="0">
      <alignment wrapText="1"/>
    </xf>
    <xf numFmtId="0" fontId="38" fillId="0" borderId="0"/>
    <xf numFmtId="0" fontId="39" fillId="0" borderId="0">
      <alignment horizontal="center" wrapText="1"/>
    </xf>
    <xf numFmtId="0" fontId="39" fillId="0" borderId="0">
      <alignment horizontal="center"/>
    </xf>
    <xf numFmtId="0" fontId="38" fillId="0" borderId="0">
      <alignment horizontal="right"/>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0" fontId="38" fillId="0" borderId="8">
      <alignment horizontal="center" vertical="center" wrapText="1"/>
    </xf>
    <xf numFmtId="1" fontId="38" fillId="0" borderId="8">
      <alignment horizontal="center" vertical="top" shrinkToFit="1"/>
    </xf>
    <xf numFmtId="10" fontId="23" fillId="8" borderId="8">
      <alignment horizontal="right" vertical="top" shrinkToFit="1"/>
    </xf>
    <xf numFmtId="0" fontId="23" fillId="0" borderId="8">
      <alignment horizontal="left"/>
    </xf>
    <xf numFmtId="4" fontId="23" fillId="15" borderId="8">
      <alignment horizontal="right" vertical="top" shrinkToFit="1"/>
    </xf>
    <xf numFmtId="10" fontId="23" fillId="15" borderId="8">
      <alignment horizontal="right" vertical="top" shrinkToFit="1"/>
    </xf>
    <xf numFmtId="0" fontId="38" fillId="0" borderId="0">
      <alignment horizontal="left" wrapText="1"/>
    </xf>
    <xf numFmtId="0" fontId="10" fillId="0" borderId="0"/>
    <xf numFmtId="0" fontId="10" fillId="0" borderId="0"/>
    <xf numFmtId="0" fontId="10" fillId="0" borderId="0"/>
    <xf numFmtId="0" fontId="26" fillId="0" borderId="0"/>
    <xf numFmtId="171"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166" fontId="26" fillId="0" borderId="0" applyFont="0" applyFill="0" applyBorder="0" applyAlignment="0" applyProtection="0"/>
    <xf numFmtId="168" fontId="17" fillId="0" borderId="0" applyFont="0" applyFill="0" applyBorder="0" applyAlignment="0" applyProtection="0"/>
    <xf numFmtId="0" fontId="10" fillId="0" borderId="0"/>
    <xf numFmtId="10" fontId="24" fillId="8" borderId="8">
      <alignment horizontal="right" vertical="top" shrinkToFit="1"/>
    </xf>
    <xf numFmtId="0" fontId="36" fillId="0" borderId="0"/>
    <xf numFmtId="168" fontId="10" fillId="0" borderId="0" applyFont="0" applyFill="0" applyBorder="0" applyAlignment="0" applyProtection="0"/>
    <xf numFmtId="168" fontId="10" fillId="0" borderId="0" applyFont="0" applyFill="0" applyBorder="0" applyAlignment="0" applyProtection="0"/>
    <xf numFmtId="0" fontId="41" fillId="0" borderId="0"/>
    <xf numFmtId="1" fontId="42" fillId="0" borderId="8">
      <alignment horizontal="center" vertical="top" shrinkToFit="1"/>
    </xf>
    <xf numFmtId="0" fontId="23" fillId="0" borderId="8">
      <alignment vertical="top" wrapText="1"/>
    </xf>
    <xf numFmtId="0" fontId="24" fillId="0" borderId="8">
      <alignment vertical="top" wrapText="1"/>
    </xf>
    <xf numFmtId="0" fontId="33" fillId="14" borderId="10" applyNumberFormat="0" applyAlignment="0" applyProtection="0"/>
    <xf numFmtId="0" fontId="43" fillId="13" borderId="0" applyNumberFormat="0" applyBorder="0" applyAlignment="0" applyProtection="0"/>
    <xf numFmtId="0" fontId="17" fillId="0" borderId="0"/>
    <xf numFmtId="0" fontId="17" fillId="0" borderId="0"/>
    <xf numFmtId="0" fontId="21" fillId="0" borderId="0"/>
    <xf numFmtId="0" fontId="26" fillId="0" borderId="0"/>
    <xf numFmtId="0" fontId="36" fillId="0" borderId="0"/>
    <xf numFmtId="0" fontId="36" fillId="0" borderId="0"/>
    <xf numFmtId="0" fontId="17" fillId="16" borderId="0"/>
    <xf numFmtId="0" fontId="32" fillId="12" borderId="0" applyNumberFormat="0" applyBorder="0" applyAlignment="0" applyProtection="0"/>
    <xf numFmtId="164" fontId="10" fillId="0" borderId="0" applyFont="0" applyFill="0" applyBorder="0" applyAlignment="0" applyProtection="0"/>
    <xf numFmtId="168" fontId="10" fillId="0" borderId="0" applyFont="0" applyFill="0" applyBorder="0" applyAlignment="0" applyProtection="0"/>
    <xf numFmtId="0" fontId="23" fillId="0" borderId="8">
      <alignment vertical="top" wrapText="1"/>
    </xf>
    <xf numFmtId="164" fontId="10" fillId="0" borderId="0" applyFont="0" applyFill="0" applyBorder="0" applyAlignment="0" applyProtection="0"/>
    <xf numFmtId="0" fontId="10" fillId="0" borderId="0"/>
    <xf numFmtId="164" fontId="10" fillId="0" borderId="0" applyFont="0" applyFill="0" applyBorder="0" applyAlignment="0" applyProtection="0"/>
    <xf numFmtId="168" fontId="10" fillId="0" borderId="0" applyFont="0" applyFill="0" applyBorder="0" applyAlignment="0" applyProtection="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cellStyleXfs>
  <cellXfs count="860">
    <xf numFmtId="0" fontId="0" fillId="0" borderId="0" xfId="0"/>
    <xf numFmtId="0" fontId="3" fillId="2" borderId="0" xfId="0" applyFont="1" applyFill="1"/>
    <xf numFmtId="0" fontId="2" fillId="2" borderId="0" xfId="0" applyFont="1" applyFill="1" applyAlignment="1">
      <alignment horizontal="center"/>
    </xf>
    <xf numFmtId="0" fontId="5"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wrapText="1"/>
    </xf>
    <xf numFmtId="0" fontId="8" fillId="0" borderId="1" xfId="0" applyFont="1" applyBorder="1" applyAlignment="1">
      <alignment vertical="top" wrapText="1"/>
    </xf>
    <xf numFmtId="0" fontId="8" fillId="0" borderId="0" xfId="0" applyFont="1"/>
    <xf numFmtId="0" fontId="3" fillId="2" borderId="0" xfId="0" applyFont="1" applyFill="1" applyAlignment="1">
      <alignment horizontal="right"/>
    </xf>
    <xf numFmtId="0" fontId="3" fillId="2" borderId="1" xfId="0" applyFont="1" applyFill="1" applyBorder="1" applyAlignment="1">
      <alignment horizontal="center" vertical="center"/>
    </xf>
    <xf numFmtId="0" fontId="5" fillId="3" borderId="2" xfId="0" applyFont="1" applyFill="1" applyBorder="1" applyAlignment="1">
      <alignment horizontal="center" vertical="center" wrapText="1"/>
    </xf>
    <xf numFmtId="0" fontId="3" fillId="2" borderId="0" xfId="0" applyFont="1" applyFill="1" applyAlignment="1">
      <alignment horizontal="center" vertical="center"/>
    </xf>
    <xf numFmtId="0" fontId="3" fillId="2" borderId="1" xfId="0" applyFont="1" applyFill="1" applyBorder="1" applyAlignment="1">
      <alignment horizontal="justify"/>
    </xf>
    <xf numFmtId="4" fontId="3" fillId="3" borderId="1" xfId="0" applyNumberFormat="1" applyFont="1" applyFill="1" applyBorder="1" applyAlignment="1">
      <alignment horizontal="right"/>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8" fillId="3" borderId="1" xfId="0" applyFont="1" applyFill="1" applyBorder="1" applyAlignment="1">
      <alignment vertical="center" wrapText="1"/>
    </xf>
    <xf numFmtId="0" fontId="3" fillId="3" borderId="2" xfId="0" applyFont="1" applyFill="1" applyBorder="1" applyAlignment="1">
      <alignment horizontal="center" vertical="center" wrapText="1"/>
    </xf>
    <xf numFmtId="0" fontId="13" fillId="0" borderId="1" xfId="0" applyFont="1" applyBorder="1" applyAlignment="1">
      <alignment horizontal="center" vertical="center" wrapText="1"/>
    </xf>
    <xf numFmtId="0" fontId="8" fillId="2" borderId="0" xfId="8" applyFont="1" applyFill="1" applyAlignment="1">
      <alignment wrapText="1"/>
    </xf>
    <xf numFmtId="0" fontId="8" fillId="2" borderId="0" xfId="8" applyFont="1" applyFill="1"/>
    <xf numFmtId="0" fontId="8" fillId="2" borderId="0" xfId="8" applyFont="1" applyFill="1" applyAlignment="1">
      <alignment horizontal="center"/>
    </xf>
    <xf numFmtId="0" fontId="8" fillId="2" borderId="0" xfId="8" applyFont="1" applyFill="1" applyAlignment="1">
      <alignment vertical="center"/>
    </xf>
    <xf numFmtId="0" fontId="8" fillId="2" borderId="1" xfId="8" applyFont="1" applyFill="1" applyBorder="1" applyAlignment="1">
      <alignment horizontal="center" vertical="center"/>
    </xf>
    <xf numFmtId="0" fontId="8" fillId="2" borderId="1" xfId="8" applyFont="1" applyFill="1" applyBorder="1" applyAlignment="1">
      <alignment vertical="center"/>
    </xf>
    <xf numFmtId="165" fontId="8" fillId="2" borderId="1" xfId="8" applyNumberFormat="1" applyFont="1" applyFill="1" applyBorder="1" applyAlignment="1">
      <alignment horizontal="center" vertical="center"/>
    </xf>
    <xf numFmtId="0" fontId="7" fillId="2" borderId="0" xfId="8" applyFont="1" applyFill="1" applyAlignment="1">
      <alignment vertical="center"/>
    </xf>
    <xf numFmtId="0" fontId="8" fillId="0" borderId="1" xfId="8" applyFont="1" applyBorder="1" applyAlignment="1">
      <alignment horizontal="center" vertical="center"/>
    </xf>
    <xf numFmtId="0" fontId="8" fillId="0" borderId="1" xfId="9" applyFont="1" applyBorder="1" applyAlignment="1">
      <alignment horizontal="center" vertical="center" wrapText="1"/>
    </xf>
    <xf numFmtId="165" fontId="7" fillId="3" borderId="1" xfId="8" applyNumberFormat="1" applyFont="1" applyFill="1" applyBorder="1" applyAlignment="1">
      <alignment horizontal="center" vertical="center"/>
    </xf>
    <xf numFmtId="0" fontId="8" fillId="3" borderId="0" xfId="8" applyFont="1" applyFill="1"/>
    <xf numFmtId="0" fontId="8" fillId="3" borderId="1" xfId="8" applyFont="1" applyFill="1" applyBorder="1" applyAlignment="1">
      <alignment vertical="center"/>
    </xf>
    <xf numFmtId="1" fontId="8" fillId="3" borderId="1" xfId="2" applyNumberFormat="1" applyFont="1" applyFill="1" applyBorder="1" applyAlignment="1">
      <alignment horizontal="center" vertical="center" wrapText="1"/>
    </xf>
    <xf numFmtId="0" fontId="8" fillId="7" borderId="0" xfId="8" applyFont="1" applyFill="1"/>
    <xf numFmtId="0" fontId="22" fillId="2" borderId="0" xfId="8" applyFont="1" applyFill="1" applyAlignment="1">
      <alignment horizontal="left"/>
    </xf>
    <xf numFmtId="0" fontId="22" fillId="2" borderId="0" xfId="8" applyFont="1" applyFill="1" applyAlignment="1">
      <alignment horizontal="center"/>
    </xf>
    <xf numFmtId="0" fontId="22" fillId="2" borderId="0" xfId="8" applyFont="1" applyFill="1"/>
    <xf numFmtId="165" fontId="8" fillId="2" borderId="1" xfId="8" applyNumberFormat="1" applyFont="1" applyFill="1" applyBorder="1" applyAlignment="1">
      <alignment vertical="center"/>
    </xf>
    <xf numFmtId="0" fontId="8" fillId="0" borderId="0" xfId="8" applyFont="1"/>
    <xf numFmtId="0" fontId="8" fillId="0" borderId="0" xfId="8" applyFont="1" applyAlignment="1">
      <alignment horizontal="center"/>
    </xf>
    <xf numFmtId="2" fontId="7" fillId="3" borderId="1" xfId="8" applyNumberFormat="1" applyFont="1" applyFill="1" applyBorder="1" applyAlignment="1">
      <alignment horizontal="center" vertical="center"/>
    </xf>
    <xf numFmtId="0" fontId="20" fillId="0" borderId="1" xfId="9" applyFont="1" applyBorder="1" applyAlignment="1">
      <alignment horizontal="center" vertical="center" wrapText="1"/>
    </xf>
    <xf numFmtId="2" fontId="11" fillId="3" borderId="1" xfId="9" applyNumberFormat="1" applyFont="1" applyFill="1" applyBorder="1" applyAlignment="1">
      <alignment horizontal="center" vertical="center"/>
    </xf>
    <xf numFmtId="0" fontId="11" fillId="0" borderId="1" xfId="9" applyFont="1" applyBorder="1" applyAlignment="1">
      <alignment horizontal="center" vertical="center"/>
    </xf>
    <xf numFmtId="0" fontId="3" fillId="5" borderId="1" xfId="0" applyFont="1" applyFill="1" applyBorder="1" applyAlignment="1">
      <alignment horizontal="center" vertical="center"/>
    </xf>
    <xf numFmtId="0" fontId="3" fillId="5" borderId="0" xfId="0" applyFont="1" applyFill="1"/>
    <xf numFmtId="0" fontId="8" fillId="7" borderId="0" xfId="8" applyFont="1" applyFill="1" applyAlignment="1">
      <alignment vertical="center"/>
    </xf>
    <xf numFmtId="2" fontId="3" fillId="5" borderId="1" xfId="0" applyNumberFormat="1" applyFont="1" applyFill="1" applyBorder="1" applyAlignment="1">
      <alignment horizontal="center" vertical="center"/>
    </xf>
    <xf numFmtId="0" fontId="3" fillId="5" borderId="1" xfId="0" applyFont="1" applyFill="1" applyBorder="1" applyAlignment="1">
      <alignment horizontal="center" vertical="center" wrapText="1"/>
    </xf>
    <xf numFmtId="0" fontId="7" fillId="0" borderId="0" xfId="7" applyFont="1" applyAlignment="1">
      <alignment horizontal="center"/>
    </xf>
    <xf numFmtId="0" fontId="11" fillId="0" borderId="0" xfId="0" applyFont="1"/>
    <xf numFmtId="0" fontId="8" fillId="0" borderId="0" xfId="7" applyFont="1" applyAlignment="1">
      <alignment wrapText="1"/>
    </xf>
    <xf numFmtId="0" fontId="8" fillId="0" borderId="0" xfId="7" applyFont="1"/>
    <xf numFmtId="0" fontId="7" fillId="0" borderId="0" xfId="7" applyFont="1"/>
    <xf numFmtId="0" fontId="8" fillId="0" borderId="1" xfId="7" applyFont="1" applyBorder="1" applyAlignment="1">
      <alignment horizontal="center" wrapText="1"/>
    </xf>
    <xf numFmtId="0" fontId="11" fillId="0" borderId="1" xfId="0" applyFont="1" applyBorder="1" applyAlignment="1">
      <alignment horizontal="center"/>
    </xf>
    <xf numFmtId="0" fontId="7" fillId="0" borderId="1" xfId="7" applyFont="1" applyBorder="1" applyAlignment="1">
      <alignment horizontal="left" vertical="center" wrapText="1"/>
    </xf>
    <xf numFmtId="0" fontId="8" fillId="0" borderId="1" xfId="7" applyFont="1" applyBorder="1" applyAlignment="1">
      <alignment horizontal="left" vertical="center" wrapText="1"/>
    </xf>
    <xf numFmtId="0" fontId="19" fillId="0" borderId="1" xfId="0" applyFont="1" applyBorder="1" applyAlignment="1">
      <alignment horizontal="left" vertical="center" wrapText="1"/>
    </xf>
    <xf numFmtId="0" fontId="16" fillId="0" borderId="1" xfId="0" applyFont="1" applyBorder="1" applyAlignment="1">
      <alignment horizontal="left" vertical="center" wrapText="1"/>
    </xf>
    <xf numFmtId="0" fontId="11" fillId="0" borderId="1" xfId="0" applyFont="1" applyBorder="1" applyAlignment="1">
      <alignment horizontal="left" wrapText="1"/>
    </xf>
    <xf numFmtId="0" fontId="11" fillId="0" borderId="1" xfId="0" applyFont="1" applyBorder="1" applyAlignment="1">
      <alignment horizontal="justify" vertical="top" wrapText="1"/>
    </xf>
    <xf numFmtId="0" fontId="16" fillId="3" borderId="1" xfId="0" applyFont="1" applyFill="1" applyBorder="1" applyAlignment="1">
      <alignment horizontal="left" vertical="center" wrapText="1"/>
    </xf>
    <xf numFmtId="0" fontId="11" fillId="0" borderId="1" xfId="0" applyFont="1" applyBorder="1" applyAlignment="1">
      <alignment wrapText="1"/>
    </xf>
    <xf numFmtId="0" fontId="11" fillId="0" borderId="1" xfId="0" applyFont="1" applyBorder="1" applyAlignment="1">
      <alignment vertical="top" wrapText="1"/>
    </xf>
    <xf numFmtId="0" fontId="11" fillId="0" borderId="1" xfId="0" applyFont="1" applyBorder="1"/>
    <xf numFmtId="2" fontId="11" fillId="0" borderId="0" xfId="0" applyNumberFormat="1" applyFont="1"/>
    <xf numFmtId="0" fontId="11" fillId="0" borderId="0" xfId="0" applyFont="1" applyAlignment="1">
      <alignment wrapText="1"/>
    </xf>
    <xf numFmtId="0" fontId="11" fillId="0" borderId="7" xfId="0" applyFont="1" applyBorder="1"/>
    <xf numFmtId="0" fontId="11" fillId="3" borderId="1" xfId="0" applyFont="1" applyFill="1" applyBorder="1" applyAlignment="1">
      <alignment wrapText="1"/>
    </xf>
    <xf numFmtId="0" fontId="8" fillId="0" borderId="1" xfId="0" applyFont="1" applyBorder="1" applyAlignment="1">
      <alignment vertical="justify" wrapText="1"/>
    </xf>
    <xf numFmtId="0" fontId="16" fillId="0" borderId="1" xfId="0" applyFont="1" applyBorder="1" applyAlignment="1">
      <alignment horizontal="justify" vertical="center" wrapText="1"/>
    </xf>
    <xf numFmtId="168" fontId="11" fillId="0" borderId="0" xfId="0" applyNumberFormat="1" applyFont="1"/>
    <xf numFmtId="0" fontId="13" fillId="0" borderId="0" xfId="0" applyFont="1"/>
    <xf numFmtId="0" fontId="18" fillId="3" borderId="1" xfId="0" applyFont="1" applyFill="1" applyBorder="1" applyAlignment="1" applyProtection="1">
      <alignment horizontal="center" vertical="center" wrapText="1"/>
      <protection hidden="1"/>
    </xf>
    <xf numFmtId="2" fontId="18" fillId="3" borderId="1" xfId="0" applyNumberFormat="1" applyFont="1" applyFill="1" applyBorder="1" applyAlignment="1" applyProtection="1">
      <alignment horizontal="center" vertical="center" wrapText="1"/>
      <protection hidden="1"/>
    </xf>
    <xf numFmtId="0" fontId="8" fillId="3" borderId="1" xfId="0" applyFont="1" applyFill="1" applyBorder="1" applyAlignment="1">
      <alignment horizontal="center" vertical="center"/>
    </xf>
    <xf numFmtId="0" fontId="3" fillId="3" borderId="0" xfId="0" applyFont="1" applyFill="1"/>
    <xf numFmtId="0" fontId="7" fillId="9" borderId="1" xfId="7" applyFont="1" applyFill="1" applyBorder="1" applyAlignment="1">
      <alignment vertical="center" wrapText="1"/>
    </xf>
    <xf numFmtId="0" fontId="7" fillId="9" borderId="1" xfId="7" applyFont="1" applyFill="1" applyBorder="1" applyAlignment="1">
      <alignment horizontal="left" vertical="center" wrapText="1"/>
    </xf>
    <xf numFmtId="0" fontId="11" fillId="9" borderId="1" xfId="0" applyFont="1" applyFill="1" applyBorder="1" applyAlignment="1">
      <alignment horizontal="center"/>
    </xf>
    <xf numFmtId="0" fontId="11" fillId="9" borderId="0" xfId="0" applyFont="1" applyFill="1"/>
    <xf numFmtId="0" fontId="19" fillId="9" borderId="1" xfId="7" applyFont="1" applyFill="1" applyBorder="1" applyAlignment="1">
      <alignment horizontal="left" vertical="center" wrapText="1"/>
    </xf>
    <xf numFmtId="0" fontId="19" fillId="9" borderId="1" xfId="8" applyFont="1" applyFill="1" applyBorder="1" applyAlignment="1">
      <alignment horizontal="left" vertical="center" wrapText="1"/>
    </xf>
    <xf numFmtId="0" fontId="25" fillId="9" borderId="1" xfId="0" applyFont="1" applyFill="1" applyBorder="1" applyAlignment="1">
      <alignment vertical="top" wrapText="1"/>
    </xf>
    <xf numFmtId="0" fontId="25" fillId="9" borderId="1" xfId="0" applyFont="1" applyFill="1" applyBorder="1" applyAlignment="1">
      <alignment vertical="center" wrapText="1"/>
    </xf>
    <xf numFmtId="0" fontId="16" fillId="9" borderId="1" xfId="0" applyFont="1" applyFill="1" applyBorder="1" applyAlignment="1">
      <alignment horizontal="left" vertical="center" wrapText="1"/>
    </xf>
    <xf numFmtId="0" fontId="11" fillId="9" borderId="1" xfId="0" applyFont="1" applyFill="1" applyBorder="1"/>
    <xf numFmtId="164" fontId="11" fillId="0" borderId="0" xfId="0" applyNumberFormat="1" applyFont="1"/>
    <xf numFmtId="0" fontId="11" fillId="9" borderId="1" xfId="0" applyFont="1" applyFill="1" applyBorder="1" applyAlignment="1">
      <alignment wrapText="1"/>
    </xf>
    <xf numFmtId="0" fontId="16" fillId="9" borderId="0" xfId="0" applyFont="1" applyFill="1"/>
    <xf numFmtId="4" fontId="7" fillId="9" borderId="1" xfId="7" applyNumberFormat="1" applyFont="1" applyFill="1" applyBorder="1" applyAlignment="1">
      <alignment horizontal="right" vertical="center" wrapText="1"/>
    </xf>
    <xf numFmtId="4" fontId="16" fillId="9" borderId="1" xfId="0" applyNumberFormat="1" applyFont="1" applyFill="1" applyBorder="1" applyAlignment="1">
      <alignment horizontal="right" vertical="center"/>
    </xf>
    <xf numFmtId="4" fontId="12" fillId="9" borderId="1" xfId="0" applyNumberFormat="1" applyFont="1" applyFill="1" applyBorder="1" applyAlignment="1">
      <alignment horizontal="right" vertical="center"/>
    </xf>
    <xf numFmtId="4" fontId="16" fillId="0" borderId="1" xfId="0" applyNumberFormat="1" applyFont="1" applyBorder="1" applyAlignment="1">
      <alignment horizontal="right" vertical="center"/>
    </xf>
    <xf numFmtId="4" fontId="16" fillId="3" borderId="1" xfId="0" applyNumberFormat="1" applyFont="1" applyFill="1" applyBorder="1" applyAlignment="1">
      <alignment horizontal="right" vertical="center"/>
    </xf>
    <xf numFmtId="4" fontId="11" fillId="0" borderId="1" xfId="0" applyNumberFormat="1" applyFont="1" applyBorder="1" applyAlignment="1">
      <alignment horizontal="right" vertical="center"/>
    </xf>
    <xf numFmtId="4" fontId="11" fillId="3" borderId="1" xfId="0" applyNumberFormat="1" applyFont="1" applyFill="1" applyBorder="1" applyAlignment="1">
      <alignment horizontal="right" vertical="center"/>
    </xf>
    <xf numFmtId="4" fontId="7" fillId="9" borderId="1" xfId="7" applyNumberFormat="1" applyFont="1" applyFill="1" applyBorder="1" applyAlignment="1">
      <alignment horizontal="right" vertical="center"/>
    </xf>
    <xf numFmtId="4" fontId="11" fillId="9" borderId="1" xfId="0" applyNumberFormat="1" applyFont="1" applyFill="1" applyBorder="1" applyAlignment="1">
      <alignment horizontal="right" vertical="center"/>
    </xf>
    <xf numFmtId="4" fontId="11" fillId="9" borderId="1" xfId="0" applyNumberFormat="1" applyFont="1" applyFill="1" applyBorder="1" applyAlignment="1">
      <alignment horizontal="right" vertical="center" wrapText="1"/>
    </xf>
    <xf numFmtId="0" fontId="11" fillId="9" borderId="1" xfId="0" applyFont="1" applyFill="1" applyBorder="1" applyAlignment="1"/>
    <xf numFmtId="0" fontId="11" fillId="0" borderId="1" xfId="0" applyFont="1" applyBorder="1" applyAlignment="1"/>
    <xf numFmtId="0" fontId="8" fillId="3" borderId="5" xfId="0" applyFont="1" applyFill="1" applyBorder="1" applyAlignment="1">
      <alignment vertical="center" wrapText="1"/>
    </xf>
    <xf numFmtId="4" fontId="11" fillId="9" borderId="1" xfId="0" applyNumberFormat="1" applyFont="1" applyFill="1" applyBorder="1" applyAlignment="1"/>
    <xf numFmtId="0" fontId="11" fillId="0" borderId="0" xfId="0" applyFont="1" applyAlignment="1"/>
    <xf numFmtId="0" fontId="11" fillId="9" borderId="0" xfId="0" applyFont="1" applyFill="1" applyAlignment="1">
      <alignment vertical="center" wrapText="1"/>
    </xf>
    <xf numFmtId="0" fontId="8" fillId="11" borderId="0" xfId="8" applyFont="1" applyFill="1"/>
    <xf numFmtId="0" fontId="28" fillId="9" borderId="0" xfId="0" applyFont="1" applyFill="1"/>
    <xf numFmtId="0" fontId="28" fillId="7" borderId="0" xfId="8" applyFont="1" applyFill="1"/>
    <xf numFmtId="0" fontId="28" fillId="2" borderId="0" xfId="8" applyFont="1" applyFill="1"/>
    <xf numFmtId="0" fontId="28" fillId="2" borderId="1" xfId="8" applyFont="1" applyFill="1" applyBorder="1" applyAlignment="1">
      <alignment vertical="center"/>
    </xf>
    <xf numFmtId="4" fontId="31" fillId="3" borderId="1" xfId="0" applyNumberFormat="1" applyFont="1" applyFill="1" applyBorder="1" applyAlignment="1">
      <alignment horizontal="right"/>
    </xf>
    <xf numFmtId="0" fontId="13" fillId="0" borderId="1" xfId="0" applyFont="1" applyBorder="1" applyAlignment="1">
      <alignment horizontal="center"/>
    </xf>
    <xf numFmtId="0" fontId="8" fillId="2" borderId="0" xfId="8" applyFont="1" applyFill="1" applyAlignment="1">
      <alignment wrapText="1"/>
    </xf>
    <xf numFmtId="0" fontId="8" fillId="2" borderId="0" xfId="8" applyFont="1" applyFill="1"/>
    <xf numFmtId="0" fontId="8" fillId="3" borderId="0" xfId="8" applyFont="1" applyFill="1"/>
    <xf numFmtId="0" fontId="8" fillId="3" borderId="1" xfId="7" applyFont="1" applyFill="1" applyBorder="1" applyAlignment="1">
      <alignment horizontal="left" vertical="center" wrapText="1" indent="1"/>
    </xf>
    <xf numFmtId="0" fontId="8" fillId="2" borderId="1" xfId="8" applyFont="1" applyFill="1" applyBorder="1"/>
    <xf numFmtId="0" fontId="8" fillId="2" borderId="0" xfId="8" applyFont="1" applyFill="1"/>
    <xf numFmtId="0" fontId="8" fillId="7" borderId="0" xfId="8" applyFont="1" applyFill="1"/>
    <xf numFmtId="0" fontId="8" fillId="0" borderId="0" xfId="8" applyFont="1"/>
    <xf numFmtId="0" fontId="8" fillId="0" borderId="0" xfId="8" applyFont="1"/>
    <xf numFmtId="4" fontId="7" fillId="5" borderId="1" xfId="7" applyNumberFormat="1" applyFont="1" applyFill="1" applyBorder="1" applyAlignment="1">
      <alignment horizontal="center" vertical="center" wrapText="1"/>
    </xf>
    <xf numFmtId="4" fontId="8" fillId="0" borderId="1" xfId="7" applyNumberFormat="1" applyFont="1" applyBorder="1" applyAlignment="1">
      <alignment horizontal="center" vertical="center"/>
    </xf>
    <xf numFmtId="4" fontId="8" fillId="0" borderId="1" xfId="10" applyNumberFormat="1" applyFont="1" applyBorder="1" applyAlignment="1">
      <alignment horizontal="center" vertical="center" wrapText="1"/>
    </xf>
    <xf numFmtId="4" fontId="7" fillId="9" borderId="1" xfId="0" applyNumberFormat="1" applyFont="1" applyFill="1" applyBorder="1" applyAlignment="1">
      <alignment horizontal="center" vertical="center" wrapText="1"/>
    </xf>
    <xf numFmtId="4" fontId="7" fillId="9" borderId="1" xfId="0" applyNumberFormat="1" applyFont="1" applyFill="1" applyBorder="1" applyAlignment="1">
      <alignment horizontal="center" vertical="center"/>
    </xf>
    <xf numFmtId="4" fontId="8" fillId="0" borderId="1" xfId="0" applyNumberFormat="1" applyFont="1" applyBorder="1" applyAlignment="1">
      <alignment horizontal="center" vertical="center" wrapText="1"/>
    </xf>
    <xf numFmtId="4" fontId="8" fillId="2" borderId="1" xfId="0" applyNumberFormat="1" applyFont="1" applyFill="1" applyBorder="1" applyAlignment="1">
      <alignment horizontal="center" vertical="center" wrapText="1"/>
    </xf>
    <xf numFmtId="0" fontId="8" fillId="2" borderId="0" xfId="8" applyFont="1" applyFill="1"/>
    <xf numFmtId="0" fontId="11" fillId="0" borderId="1" xfId="28" applyFont="1" applyBorder="1" applyAlignment="1">
      <alignment horizontal="left" vertical="center" wrapText="1"/>
    </xf>
    <xf numFmtId="4" fontId="8" fillId="0" borderId="1" xfId="7" applyNumberFormat="1" applyFont="1" applyBorder="1" applyAlignment="1">
      <alignment horizontal="right" vertical="center"/>
    </xf>
    <xf numFmtId="4" fontId="7" fillId="0" borderId="1" xfId="7" applyNumberFormat="1" applyFont="1" applyBorder="1" applyAlignment="1">
      <alignment horizontal="right" vertical="center"/>
    </xf>
    <xf numFmtId="4" fontId="7" fillId="9" borderId="1" xfId="7" applyNumberFormat="1" applyFont="1" applyFill="1" applyBorder="1" applyAlignment="1">
      <alignment horizontal="right" vertical="center" wrapText="1"/>
    </xf>
    <xf numFmtId="4" fontId="7" fillId="9" borderId="1" xfId="0" applyNumberFormat="1" applyFont="1" applyFill="1" applyBorder="1" applyAlignment="1">
      <alignment horizontal="right" vertical="center" wrapText="1"/>
    </xf>
    <xf numFmtId="0" fontId="11" fillId="0" borderId="1" xfId="0" applyFont="1" applyBorder="1" applyAlignment="1">
      <alignment vertical="center" wrapText="1"/>
    </xf>
    <xf numFmtId="0" fontId="8" fillId="2" borderId="0" xfId="8" applyFont="1" applyFill="1"/>
    <xf numFmtId="0" fontId="11" fillId="0" borderId="0" xfId="0" applyFont="1"/>
    <xf numFmtId="0" fontId="11" fillId="0" borderId="1" xfId="0" applyFont="1" applyBorder="1" applyAlignment="1">
      <alignment horizontal="center"/>
    </xf>
    <xf numFmtId="0" fontId="20" fillId="0" borderId="1" xfId="0" applyFont="1" applyBorder="1" applyAlignment="1">
      <alignment vertical="top" wrapText="1"/>
    </xf>
    <xf numFmtId="0" fontId="11" fillId="0" borderId="1" xfId="0" applyFont="1" applyBorder="1" applyAlignment="1">
      <alignment wrapText="1"/>
    </xf>
    <xf numFmtId="0" fontId="13" fillId="0" borderId="1" xfId="0" applyFont="1" applyBorder="1" applyAlignment="1">
      <alignment wrapText="1"/>
    </xf>
    <xf numFmtId="0" fontId="13" fillId="0" borderId="1" xfId="0" applyFont="1" applyBorder="1"/>
    <xf numFmtId="0" fontId="11" fillId="0" borderId="1" xfId="0" applyFont="1" applyBorder="1"/>
    <xf numFmtId="0" fontId="11" fillId="0" borderId="7" xfId="0" applyFont="1" applyBorder="1"/>
    <xf numFmtId="0" fontId="11" fillId="3" borderId="1" xfId="0" applyFont="1" applyFill="1" applyBorder="1" applyAlignment="1">
      <alignment wrapText="1"/>
    </xf>
    <xf numFmtId="0" fontId="13" fillId="0" borderId="0" xfId="0" applyFont="1"/>
    <xf numFmtId="4" fontId="7" fillId="9" borderId="1" xfId="7" applyNumberFormat="1" applyFont="1" applyFill="1" applyBorder="1" applyAlignment="1">
      <alignment horizontal="center" vertical="center" wrapText="1"/>
    </xf>
    <xf numFmtId="4" fontId="7" fillId="9" borderId="1" xfId="7" applyNumberFormat="1" applyFont="1" applyFill="1" applyBorder="1" applyAlignment="1">
      <alignment horizontal="center" vertical="center"/>
    </xf>
    <xf numFmtId="4" fontId="16" fillId="9" borderId="1" xfId="0" applyNumberFormat="1" applyFont="1" applyFill="1" applyBorder="1" applyAlignment="1">
      <alignment horizontal="right" vertical="center"/>
    </xf>
    <xf numFmtId="4" fontId="11" fillId="0" borderId="1" xfId="0" applyNumberFormat="1" applyFont="1" applyBorder="1" applyAlignment="1">
      <alignment horizontal="right" vertical="center"/>
    </xf>
    <xf numFmtId="4" fontId="13" fillId="0" borderId="1" xfId="0" applyNumberFormat="1" applyFont="1" applyBorder="1" applyAlignment="1">
      <alignment horizontal="right" vertical="center"/>
    </xf>
    <xf numFmtId="4" fontId="7" fillId="9" borderId="1" xfId="7" applyNumberFormat="1" applyFont="1" applyFill="1" applyBorder="1" applyAlignment="1">
      <alignment horizontal="right" vertical="center"/>
    </xf>
    <xf numFmtId="4" fontId="13" fillId="3" borderId="1" xfId="0" applyNumberFormat="1" applyFont="1" applyFill="1" applyBorder="1" applyAlignment="1">
      <alignment horizontal="right" vertical="center"/>
    </xf>
    <xf numFmtId="4" fontId="16" fillId="9" borderId="1" xfId="0" applyNumberFormat="1" applyFont="1" applyFill="1" applyBorder="1" applyAlignment="1">
      <alignment horizontal="right" vertical="center" wrapText="1"/>
    </xf>
    <xf numFmtId="0" fontId="8" fillId="3" borderId="1" xfId="0" applyFont="1" applyFill="1" applyBorder="1" applyAlignment="1">
      <alignment vertical="top" wrapText="1"/>
    </xf>
    <xf numFmtId="0" fontId="20" fillId="0" borderId="2" xfId="0" applyFont="1" applyBorder="1" applyAlignment="1">
      <alignment vertical="top" wrapText="1"/>
    </xf>
    <xf numFmtId="0" fontId="11" fillId="0" borderId="1" xfId="28" applyFont="1" applyBorder="1" applyAlignment="1">
      <alignment horizontal="justify" vertical="top" wrapText="1"/>
    </xf>
    <xf numFmtId="0" fontId="11" fillId="3" borderId="1" xfId="28" applyNumberFormat="1" applyFont="1" applyFill="1" applyBorder="1" applyAlignment="1">
      <alignment horizontal="left" vertical="center" wrapText="1"/>
    </xf>
    <xf numFmtId="0" fontId="11" fillId="3" borderId="1" xfId="28" applyFont="1" applyFill="1" applyBorder="1" applyAlignment="1">
      <alignment horizontal="left" vertical="center" wrapText="1"/>
    </xf>
    <xf numFmtId="0" fontId="20" fillId="0" borderId="1" xfId="28" applyFont="1" applyBorder="1" applyAlignment="1">
      <alignment horizontal="justify" vertical="center"/>
    </xf>
    <xf numFmtId="0" fontId="11" fillId="0" borderId="1" xfId="28" applyFont="1" applyBorder="1" applyAlignment="1">
      <alignment vertical="top" wrapText="1"/>
    </xf>
    <xf numFmtId="0" fontId="11" fillId="0" borderId="1" xfId="28" applyFont="1" applyBorder="1" applyAlignment="1">
      <alignment wrapText="1"/>
    </xf>
    <xf numFmtId="0" fontId="28" fillId="0" borderId="0" xfId="0" applyFont="1"/>
    <xf numFmtId="0" fontId="29" fillId="9" borderId="0" xfId="0" applyFont="1" applyFill="1"/>
    <xf numFmtId="0" fontId="29" fillId="3" borderId="7" xfId="0" applyFont="1" applyFill="1" applyBorder="1" applyAlignment="1">
      <alignment horizontal="center" vertical="center" wrapText="1"/>
    </xf>
    <xf numFmtId="0" fontId="11" fillId="0" borderId="0" xfId="0" applyFont="1"/>
    <xf numFmtId="0" fontId="8" fillId="0" borderId="1" xfId="7" applyFont="1" applyBorder="1" applyAlignment="1">
      <alignment horizontal="left" vertical="center" wrapText="1" indent="1"/>
    </xf>
    <xf numFmtId="0" fontId="13" fillId="0" borderId="7" xfId="0" applyFont="1" applyBorder="1"/>
    <xf numFmtId="0" fontId="11" fillId="3" borderId="1" xfId="110" applyFont="1" applyFill="1" applyBorder="1" applyAlignment="1">
      <alignment horizontal="left" vertical="center" wrapText="1" indent="1"/>
    </xf>
    <xf numFmtId="0" fontId="22" fillId="0" borderId="1" xfId="7" applyFont="1" applyBorder="1" applyAlignment="1">
      <alignment horizontal="left" vertical="center" wrapText="1"/>
    </xf>
    <xf numFmtId="0" fontId="20" fillId="0" borderId="1" xfId="110" applyFont="1" applyBorder="1" applyAlignment="1">
      <alignment vertical="center" wrapText="1"/>
    </xf>
    <xf numFmtId="0" fontId="22" fillId="0" borderId="1" xfId="7" applyFont="1" applyBorder="1" applyAlignment="1">
      <alignment horizontal="left" vertical="center" wrapText="1"/>
    </xf>
    <xf numFmtId="0" fontId="20" fillId="0" borderId="1" xfId="110" applyFont="1" applyBorder="1" applyAlignment="1">
      <alignment vertical="top" wrapText="1"/>
    </xf>
    <xf numFmtId="0" fontId="20" fillId="0" borderId="1" xfId="110" applyFont="1" applyBorder="1" applyAlignment="1">
      <alignment vertical="top" wrapText="1"/>
    </xf>
    <xf numFmtId="0" fontId="8" fillId="0" borderId="1" xfId="110" applyFont="1" applyFill="1" applyBorder="1" applyAlignment="1">
      <alignment horizontal="left" vertical="top" wrapText="1"/>
    </xf>
    <xf numFmtId="0" fontId="28" fillId="11" borderId="0" xfId="8" applyFont="1" applyFill="1"/>
    <xf numFmtId="0" fontId="30" fillId="2" borderId="0" xfId="8" applyFont="1" applyFill="1"/>
    <xf numFmtId="4" fontId="7" fillId="3" borderId="1" xfId="7" applyNumberFormat="1" applyFont="1" applyFill="1" applyBorder="1" applyAlignment="1">
      <alignment vertical="center"/>
    </xf>
    <xf numFmtId="4" fontId="16" fillId="0" borderId="1" xfId="0" applyNumberFormat="1" applyFont="1" applyBorder="1" applyAlignment="1">
      <alignment vertical="center"/>
    </xf>
    <xf numFmtId="4" fontId="27" fillId="3" borderId="1" xfId="18" applyNumberFormat="1" applyFont="1" applyFill="1" applyBorder="1" applyAlignment="1">
      <alignment vertical="center" shrinkToFit="1"/>
    </xf>
    <xf numFmtId="4" fontId="13" fillId="0" borderId="1" xfId="0" applyNumberFormat="1" applyFont="1" applyBorder="1" applyAlignment="1">
      <alignment vertical="center"/>
    </xf>
    <xf numFmtId="4" fontId="11" fillId="0" borderId="1" xfId="110" applyNumberFormat="1" applyFont="1" applyBorder="1" applyAlignment="1">
      <alignment vertical="center"/>
    </xf>
    <xf numFmtId="4" fontId="8" fillId="3" borderId="1" xfId="7" applyNumberFormat="1" applyFont="1" applyFill="1" applyBorder="1" applyAlignment="1">
      <alignment vertical="center"/>
    </xf>
    <xf numFmtId="4" fontId="11" fillId="0" borderId="1" xfId="0" applyNumberFormat="1" applyFont="1" applyBorder="1" applyAlignment="1">
      <alignment vertical="center"/>
    </xf>
    <xf numFmtId="4" fontId="8" fillId="0" borderId="1" xfId="7" applyNumberFormat="1" applyFont="1" applyBorder="1" applyAlignment="1">
      <alignment vertical="center"/>
    </xf>
    <xf numFmtId="2" fontId="34" fillId="0" borderId="1" xfId="110" applyNumberFormat="1" applyFont="1" applyBorder="1" applyAlignment="1">
      <alignment vertical="center"/>
    </xf>
    <xf numFmtId="2" fontId="8" fillId="0" borderId="1" xfId="8" applyNumberFormat="1" applyFont="1" applyBorder="1" applyAlignment="1">
      <alignment horizontal="center" vertical="center"/>
    </xf>
    <xf numFmtId="2" fontId="7" fillId="2" borderId="1" xfId="8" applyNumberFormat="1" applyFont="1" applyFill="1" applyBorder="1" applyAlignment="1">
      <alignment vertical="center"/>
    </xf>
    <xf numFmtId="0" fontId="8" fillId="0" borderId="1" xfId="8" applyFont="1" applyBorder="1" applyAlignment="1">
      <alignment horizontal="center" vertical="center" wrapText="1"/>
    </xf>
    <xf numFmtId="0" fontId="8" fillId="0" borderId="1" xfId="9" applyFont="1" applyBorder="1" applyAlignment="1">
      <alignment horizontal="center" vertical="center"/>
    </xf>
    <xf numFmtId="0" fontId="8" fillId="0" borderId="1" xfId="6" applyFont="1" applyBorder="1" applyAlignment="1">
      <alignment horizontal="center" vertical="center"/>
    </xf>
    <xf numFmtId="166" fontId="8" fillId="2" borderId="1" xfId="8" applyNumberFormat="1" applyFont="1" applyFill="1" applyBorder="1" applyAlignment="1">
      <alignment vertical="center"/>
    </xf>
    <xf numFmtId="0" fontId="8" fillId="0" borderId="1" xfId="6" applyFont="1" applyBorder="1" applyAlignment="1">
      <alignment horizontal="center" vertical="center" wrapText="1"/>
    </xf>
    <xf numFmtId="2" fontId="8" fillId="3" borderId="1" xfId="8" applyNumberFormat="1" applyFont="1" applyFill="1" applyBorder="1" applyAlignment="1">
      <alignment vertical="center"/>
    </xf>
    <xf numFmtId="1" fontId="8" fillId="3" borderId="1" xfId="2" applyNumberFormat="1" applyFont="1" applyFill="1" applyBorder="1" applyAlignment="1">
      <alignment horizontal="center" wrapText="1"/>
    </xf>
    <xf numFmtId="0" fontId="8" fillId="3" borderId="1" xfId="2" applyFont="1" applyFill="1" applyBorder="1" applyAlignment="1">
      <alignment horizontal="center" wrapText="1"/>
    </xf>
    <xf numFmtId="0" fontId="8" fillId="3" borderId="1" xfId="2" applyFont="1" applyFill="1" applyBorder="1" applyAlignment="1">
      <alignment horizontal="center" vertical="top" wrapText="1"/>
    </xf>
    <xf numFmtId="2" fontId="8" fillId="3" borderId="1" xfId="2" applyNumberFormat="1" applyFont="1" applyFill="1" applyBorder="1" applyAlignment="1">
      <alignment horizontal="center" wrapText="1"/>
    </xf>
    <xf numFmtId="165" fontId="8" fillId="3" borderId="1" xfId="2" applyNumberFormat="1" applyFont="1" applyFill="1" applyBorder="1" applyAlignment="1">
      <alignment horizontal="center" wrapText="1"/>
    </xf>
    <xf numFmtId="2" fontId="8" fillId="3" borderId="1" xfId="2" applyNumberFormat="1" applyFont="1" applyFill="1" applyBorder="1" applyAlignment="1">
      <alignment horizontal="center" vertical="center" wrapText="1"/>
    </xf>
    <xf numFmtId="3" fontId="8" fillId="3" borderId="1" xfId="9" applyNumberFormat="1" applyFont="1" applyFill="1" applyBorder="1" applyAlignment="1">
      <alignment horizontal="center" vertical="center" wrapText="1"/>
    </xf>
    <xf numFmtId="165" fontId="8" fillId="3" borderId="1" xfId="2" applyNumberFormat="1" applyFont="1" applyFill="1" applyBorder="1" applyAlignment="1">
      <alignment horizontal="center" vertical="center" wrapText="1"/>
    </xf>
    <xf numFmtId="0" fontId="8" fillId="0" borderId="1" xfId="10" applyFont="1" applyBorder="1" applyAlignment="1">
      <alignment horizontal="center" vertical="center" wrapText="1"/>
    </xf>
    <xf numFmtId="165" fontId="8" fillId="3" borderId="1" xfId="6" applyNumberFormat="1" applyFont="1" applyFill="1" applyBorder="1" applyAlignment="1">
      <alignment horizontal="center" vertical="center" wrapText="1"/>
    </xf>
    <xf numFmtId="0" fontId="8" fillId="3" borderId="1" xfId="6" applyFont="1" applyFill="1" applyBorder="1" applyAlignment="1">
      <alignment horizontal="center" vertical="center" wrapText="1"/>
    </xf>
    <xf numFmtId="1" fontId="8" fillId="3" borderId="1" xfId="6" applyNumberFormat="1" applyFont="1" applyFill="1" applyBorder="1" applyAlignment="1">
      <alignment horizontal="center" vertical="center" wrapText="1"/>
    </xf>
    <xf numFmtId="0" fontId="8" fillId="0" borderId="1" xfId="10" applyFont="1" applyBorder="1" applyAlignment="1">
      <alignment horizontal="center" vertical="center"/>
    </xf>
    <xf numFmtId="0" fontId="7" fillId="3" borderId="1" xfId="9" applyFont="1" applyFill="1" applyBorder="1" applyAlignment="1">
      <alignment horizontal="center" vertical="center"/>
    </xf>
    <xf numFmtId="0" fontId="8" fillId="10" borderId="0" xfId="0" applyFont="1" applyFill="1" applyBorder="1" applyAlignment="1">
      <alignment horizontal="center" vertical="center" wrapText="1"/>
    </xf>
    <xf numFmtId="0" fontId="8" fillId="2" borderId="0" xfId="8" applyFont="1" applyFill="1" applyBorder="1" applyAlignment="1">
      <alignment vertical="center" wrapText="1"/>
    </xf>
    <xf numFmtId="0" fontId="8" fillId="7" borderId="0" xfId="8" applyFont="1" applyFill="1" applyBorder="1" applyAlignment="1">
      <alignment vertical="center" wrapText="1"/>
    </xf>
    <xf numFmtId="0" fontId="7" fillId="2" borderId="0" xfId="8" applyFont="1" applyFill="1" applyBorder="1" applyAlignment="1">
      <alignment vertical="center" wrapText="1"/>
    </xf>
    <xf numFmtId="0" fontId="8" fillId="7" borderId="0" xfId="8" applyFont="1" applyFill="1" applyBorder="1" applyAlignment="1">
      <alignment wrapText="1"/>
    </xf>
    <xf numFmtId="0" fontId="8" fillId="3" borderId="0" xfId="8" applyFont="1" applyFill="1" applyBorder="1" applyAlignment="1">
      <alignment wrapText="1"/>
    </xf>
    <xf numFmtId="0" fontId="8" fillId="11" borderId="0" xfId="8" applyFont="1" applyFill="1" applyBorder="1" applyAlignment="1">
      <alignment wrapText="1"/>
    </xf>
    <xf numFmtId="0" fontId="22" fillId="2" borderId="0" xfId="8" applyFont="1" applyFill="1" applyBorder="1" applyAlignment="1">
      <alignment horizontal="left" wrapText="1"/>
    </xf>
    <xf numFmtId="0" fontId="22" fillId="2" borderId="0" xfId="8" applyFont="1" applyFill="1" applyBorder="1" applyAlignment="1">
      <alignment horizontal="center" wrapText="1"/>
    </xf>
    <xf numFmtId="0" fontId="28" fillId="11" borderId="0" xfId="8" applyFont="1" applyFill="1" applyBorder="1" applyAlignment="1">
      <alignment wrapText="1"/>
    </xf>
    <xf numFmtId="0" fontId="28" fillId="2" borderId="0" xfId="8" applyFont="1" applyFill="1" applyBorder="1" applyAlignment="1">
      <alignment wrapText="1"/>
    </xf>
    <xf numFmtId="0" fontId="30" fillId="2" borderId="0" xfId="8" applyFont="1" applyFill="1" applyBorder="1" applyAlignment="1">
      <alignment wrapText="1"/>
    </xf>
    <xf numFmtId="0" fontId="28" fillId="7" borderId="0" xfId="8" applyFont="1" applyFill="1" applyBorder="1" applyAlignment="1">
      <alignment wrapText="1"/>
    </xf>
    <xf numFmtId="0" fontId="22" fillId="2" borderId="0" xfId="8" applyFont="1" applyFill="1" applyBorder="1" applyAlignment="1">
      <alignment wrapText="1"/>
    </xf>
    <xf numFmtId="0" fontId="8" fillId="2" borderId="0" xfId="1" applyFont="1" applyFill="1" applyBorder="1" applyAlignment="1">
      <alignment horizontal="center"/>
    </xf>
    <xf numFmtId="0" fontId="37" fillId="0" borderId="0" xfId="6" applyFont="1" applyBorder="1"/>
    <xf numFmtId="0" fontId="8" fillId="0" borderId="0" xfId="8" applyFont="1" applyBorder="1" applyAlignment="1">
      <alignment wrapText="1"/>
    </xf>
    <xf numFmtId="0" fontId="8" fillId="0" borderId="0" xfId="8" applyFont="1" applyBorder="1" applyAlignment="1">
      <alignment vertical="top" wrapText="1"/>
    </xf>
    <xf numFmtId="0" fontId="28" fillId="3" borderId="0" xfId="6" applyFont="1" applyFill="1" applyBorder="1" applyAlignment="1">
      <alignment horizontal="left" vertical="center" wrapText="1"/>
    </xf>
    <xf numFmtId="165" fontId="28" fillId="3" borderId="0" xfId="6" applyNumberFormat="1" applyFont="1" applyFill="1" applyBorder="1" applyAlignment="1">
      <alignment horizontal="left" vertical="center" wrapText="1"/>
    </xf>
    <xf numFmtId="0" fontId="8" fillId="3" borderId="0" xfId="8" applyFont="1" applyFill="1" applyBorder="1" applyAlignment="1">
      <alignment horizontal="center" wrapText="1"/>
    </xf>
    <xf numFmtId="0" fontId="8" fillId="3" borderId="0" xfId="8" applyFont="1" applyFill="1" applyBorder="1" applyAlignment="1">
      <alignment horizontal="left" vertical="center" wrapText="1"/>
    </xf>
    <xf numFmtId="0" fontId="11" fillId="0" borderId="0" xfId="9" applyFont="1" applyBorder="1"/>
    <xf numFmtId="0" fontId="8" fillId="0" borderId="0" xfId="8" applyFont="1" applyBorder="1" applyAlignment="1">
      <alignment horizontal="center" wrapText="1"/>
    </xf>
    <xf numFmtId="0" fontId="8" fillId="0" borderId="1" xfId="8" applyFont="1" applyBorder="1" applyAlignment="1">
      <alignment vertical="center"/>
    </xf>
    <xf numFmtId="165" fontId="8" fillId="0" borderId="1" xfId="9" applyNumberFormat="1" applyFont="1" applyBorder="1" applyAlignment="1">
      <alignment horizontal="center" vertical="center" wrapText="1"/>
    </xf>
    <xf numFmtId="3" fontId="8" fillId="3" borderId="1" xfId="9" applyNumberFormat="1" applyFont="1" applyFill="1" applyBorder="1" applyAlignment="1">
      <alignment horizontal="center" vertical="center"/>
    </xf>
    <xf numFmtId="0" fontId="8" fillId="0" borderId="1" xfId="3" applyFont="1" applyBorder="1" applyAlignment="1">
      <alignment horizontal="center" vertical="center" wrapText="1"/>
    </xf>
    <xf numFmtId="0" fontId="8" fillId="0" borderId="1" xfId="3" applyFont="1" applyBorder="1" applyAlignment="1">
      <alignment horizontal="center" vertical="center"/>
    </xf>
    <xf numFmtId="9" fontId="8" fillId="0" borderId="1" xfId="5" applyFont="1" applyBorder="1" applyAlignment="1">
      <alignment horizontal="center" vertical="center" wrapText="1"/>
    </xf>
    <xf numFmtId="2" fontId="8" fillId="2" borderId="1" xfId="8" applyNumberFormat="1" applyFont="1" applyFill="1" applyBorder="1" applyAlignment="1">
      <alignment horizontal="center" vertical="center"/>
    </xf>
    <xf numFmtId="0" fontId="8" fillId="3" borderId="1" xfId="11" applyFont="1" applyFill="1" applyBorder="1" applyAlignment="1">
      <alignment horizontal="center" vertical="center"/>
    </xf>
    <xf numFmtId="165" fontId="8" fillId="3" borderId="1" xfId="8" applyNumberFormat="1" applyFont="1" applyFill="1" applyBorder="1" applyAlignment="1">
      <alignment vertical="center"/>
    </xf>
    <xf numFmtId="0" fontId="44" fillId="0" borderId="1" xfId="12" applyFont="1" applyBorder="1" applyAlignment="1">
      <alignment horizontal="center" vertical="center" wrapText="1"/>
    </xf>
    <xf numFmtId="0" fontId="44" fillId="0" borderId="1" xfId="0" applyFont="1" applyBorder="1" applyAlignment="1">
      <alignment horizontal="center" vertical="center" wrapText="1"/>
    </xf>
    <xf numFmtId="165" fontId="8" fillId="0" borderId="1" xfId="13" applyFont="1" applyBorder="1" applyAlignment="1">
      <alignment horizontal="center" vertical="center" wrapText="1"/>
    </xf>
    <xf numFmtId="165" fontId="8" fillId="0" borderId="1" xfId="12" applyNumberFormat="1" applyFont="1" applyBorder="1" applyAlignment="1">
      <alignment horizontal="center" vertical="center" wrapText="1"/>
    </xf>
    <xf numFmtId="0" fontId="8" fillId="0" borderId="1" xfId="12" applyFont="1" applyBorder="1" applyAlignment="1">
      <alignment horizontal="center" vertical="center" wrapText="1"/>
    </xf>
    <xf numFmtId="0" fontId="8" fillId="0" borderId="1" xfId="15" applyFont="1" applyBorder="1" applyAlignment="1">
      <alignment horizontal="center" vertical="center" wrapText="1"/>
    </xf>
    <xf numFmtId="0" fontId="8" fillId="0" borderId="1" xfId="16" applyFont="1" applyBorder="1" applyAlignment="1">
      <alignment horizontal="center" vertical="center" wrapText="1"/>
    </xf>
    <xf numFmtId="1" fontId="8" fillId="2" borderId="1" xfId="8" applyNumberFormat="1" applyFont="1" applyFill="1" applyBorder="1" applyAlignment="1">
      <alignment horizontal="center" vertical="center"/>
    </xf>
    <xf numFmtId="0" fontId="8" fillId="2" borderId="1" xfId="9" applyFont="1" applyFill="1" applyBorder="1" applyAlignment="1">
      <alignment horizontal="center" vertical="center"/>
    </xf>
    <xf numFmtId="0" fontId="44" fillId="0" borderId="1" xfId="0" applyFont="1" applyBorder="1" applyAlignment="1">
      <alignment horizontal="center" vertical="center"/>
    </xf>
    <xf numFmtId="0" fontId="8" fillId="2" borderId="1" xfId="9" applyFont="1" applyFill="1" applyBorder="1" applyAlignment="1">
      <alignment horizontal="center" vertical="center" wrapText="1"/>
    </xf>
    <xf numFmtId="0" fontId="8" fillId="0" borderId="1" xfId="2" applyFont="1" applyBorder="1" applyAlignment="1">
      <alignment horizontal="center" vertical="center" wrapText="1"/>
    </xf>
    <xf numFmtId="165" fontId="8" fillId="0" borderId="1" xfId="8" applyNumberFormat="1" applyFont="1" applyFill="1" applyBorder="1" applyAlignment="1">
      <alignment horizontal="center" vertical="center"/>
    </xf>
    <xf numFmtId="0" fontId="8" fillId="0" borderId="1" xfId="8" applyFont="1" applyFill="1" applyBorder="1" applyAlignment="1">
      <alignment horizontal="center" vertical="center"/>
    </xf>
    <xf numFmtId="0" fontId="8" fillId="0" borderId="1" xfId="8" applyFont="1" applyFill="1" applyBorder="1" applyAlignment="1">
      <alignment horizontal="center" vertical="center" wrapText="1"/>
    </xf>
    <xf numFmtId="1" fontId="8" fillId="0" borderId="1" xfId="6" applyNumberFormat="1" applyFont="1" applyBorder="1" applyAlignment="1">
      <alignment horizontal="center" vertical="center" wrapText="1"/>
    </xf>
    <xf numFmtId="0" fontId="8" fillId="3" borderId="1" xfId="6" applyFont="1" applyFill="1" applyBorder="1" applyAlignment="1">
      <alignment horizontal="center" vertical="center"/>
    </xf>
    <xf numFmtId="165" fontId="8" fillId="3" borderId="1" xfId="9" applyNumberFormat="1" applyFont="1" applyFill="1" applyBorder="1" applyAlignment="1">
      <alignment horizontal="center" vertical="center" wrapText="1"/>
    </xf>
    <xf numFmtId="4" fontId="8" fillId="3" borderId="1" xfId="6" applyNumberFormat="1" applyFont="1" applyFill="1" applyBorder="1" applyAlignment="1">
      <alignment horizontal="center" vertical="center" wrapText="1"/>
    </xf>
    <xf numFmtId="3" fontId="8" fillId="3" borderId="1" xfId="6" applyNumberFormat="1" applyFont="1" applyFill="1" applyBorder="1" applyAlignment="1">
      <alignment horizontal="center" vertical="center" wrapText="1"/>
    </xf>
    <xf numFmtId="167" fontId="8" fillId="3" borderId="1" xfId="6" applyNumberFormat="1" applyFont="1" applyFill="1" applyBorder="1" applyAlignment="1">
      <alignment horizontal="center" vertical="center" wrapText="1"/>
    </xf>
    <xf numFmtId="0" fontId="7" fillId="0" borderId="1" xfId="7" applyFont="1" applyBorder="1" applyAlignment="1">
      <alignment horizontal="center"/>
    </xf>
    <xf numFmtId="0" fontId="8" fillId="2" borderId="0" xfId="8" applyFont="1" applyFill="1" applyBorder="1" applyAlignment="1">
      <alignment horizontal="left"/>
    </xf>
    <xf numFmtId="0" fontId="8" fillId="2" borderId="0" xfId="1" applyFont="1" applyFill="1" applyBorder="1" applyAlignment="1">
      <alignment horizontal="left" wrapText="1"/>
    </xf>
    <xf numFmtId="0" fontId="8" fillId="0" borderId="1" xfId="0" applyFont="1" applyBorder="1" applyAlignment="1">
      <alignment horizontal="justify" vertical="top" wrapText="1"/>
    </xf>
    <xf numFmtId="4" fontId="7" fillId="9" borderId="1" xfId="0" applyNumberFormat="1" applyFont="1" applyFill="1" applyBorder="1" applyAlignment="1">
      <alignment horizontal="right" vertical="center"/>
    </xf>
    <xf numFmtId="4" fontId="45" fillId="9" borderId="1" xfId="0" applyNumberFormat="1" applyFont="1" applyFill="1" applyBorder="1" applyAlignment="1">
      <alignment horizontal="right" vertical="center"/>
    </xf>
    <xf numFmtId="0" fontId="8" fillId="9" borderId="1" xfId="0" applyFont="1" applyFill="1" applyBorder="1" applyAlignment="1"/>
    <xf numFmtId="0" fontId="8" fillId="0" borderId="1" xfId="0" applyFont="1" applyBorder="1" applyAlignment="1">
      <alignment horizontal="center"/>
    </xf>
    <xf numFmtId="0" fontId="8" fillId="0" borderId="1" xfId="0" applyFont="1" applyBorder="1" applyAlignment="1">
      <alignment horizontal="justify" vertical="center" wrapText="1"/>
    </xf>
    <xf numFmtId="4" fontId="8" fillId="3" borderId="1" xfId="0" applyNumberFormat="1" applyFont="1" applyFill="1" applyBorder="1" applyAlignment="1">
      <alignment horizontal="right" vertical="center" wrapText="1"/>
    </xf>
    <xf numFmtId="4" fontId="8" fillId="3" borderId="1" xfId="0" applyNumberFormat="1" applyFont="1" applyFill="1" applyBorder="1" applyAlignment="1">
      <alignment horizontal="right" vertical="center"/>
    </xf>
    <xf numFmtId="4" fontId="8" fillId="0" borderId="1" xfId="0" applyNumberFormat="1" applyFont="1" applyBorder="1" applyAlignment="1">
      <alignment horizontal="right" vertical="center"/>
    </xf>
    <xf numFmtId="0" fontId="8" fillId="0" borderId="1" xfId="0" applyFont="1" applyBorder="1" applyAlignment="1">
      <alignment wrapText="1"/>
    </xf>
    <xf numFmtId="0" fontId="8" fillId="0" borderId="1" xfId="0" applyFont="1" applyBorder="1" applyAlignment="1">
      <alignment horizontal="center" vertical="center"/>
    </xf>
    <xf numFmtId="0" fontId="8" fillId="17" borderId="1" xfId="8" applyFont="1" applyFill="1" applyBorder="1" applyAlignment="1">
      <alignment vertical="center"/>
    </xf>
    <xf numFmtId="0" fontId="22" fillId="2" borderId="1" xfId="8" applyFont="1" applyFill="1" applyBorder="1" applyAlignment="1">
      <alignment horizontal="left" vertical="center"/>
    </xf>
    <xf numFmtId="0" fontId="22" fillId="2" borderId="1" xfId="8" applyFont="1" applyFill="1" applyBorder="1" applyAlignment="1">
      <alignment vertical="center"/>
    </xf>
    <xf numFmtId="0" fontId="7" fillId="9" borderId="7" xfId="0" applyFont="1" applyFill="1" applyBorder="1" applyAlignment="1">
      <alignment horizontal="center" vertical="center" wrapText="1"/>
    </xf>
    <xf numFmtId="0" fontId="8" fillId="9" borderId="0" xfId="0" applyFont="1" applyFill="1"/>
    <xf numFmtId="0" fontId="7" fillId="3" borderId="1" xfId="7" applyFont="1" applyFill="1" applyBorder="1" applyAlignment="1">
      <alignment horizontal="left" vertical="center" wrapText="1"/>
    </xf>
    <xf numFmtId="4" fontId="7" fillId="3" borderId="1" xfId="0" applyNumberFormat="1" applyFont="1" applyFill="1" applyBorder="1" applyAlignment="1">
      <alignment horizontal="right" vertical="center" wrapText="1"/>
    </xf>
    <xf numFmtId="4" fontId="7" fillId="0" borderId="1" xfId="0" applyNumberFormat="1" applyFont="1" applyBorder="1" applyAlignment="1">
      <alignment horizontal="right" vertical="center"/>
    </xf>
    <xf numFmtId="4" fontId="7" fillId="3" borderId="1" xfId="0" applyNumberFormat="1" applyFont="1" applyFill="1" applyBorder="1" applyAlignment="1">
      <alignment horizontal="right" vertical="center"/>
    </xf>
    <xf numFmtId="0" fontId="8" fillId="0" borderId="1" xfId="0" applyFont="1" applyBorder="1" applyAlignment="1"/>
    <xf numFmtId="0" fontId="8" fillId="0" borderId="1" xfId="0" applyFont="1" applyBorder="1"/>
    <xf numFmtId="0" fontId="8" fillId="3" borderId="1" xfId="7" applyFont="1" applyFill="1" applyBorder="1" applyAlignment="1">
      <alignment horizontal="left" vertical="center" wrapText="1"/>
    </xf>
    <xf numFmtId="4" fontId="8" fillId="3" borderId="1" xfId="19" applyNumberFormat="1" applyFont="1" applyFill="1" applyBorder="1" applyAlignment="1">
      <alignment horizontal="right" vertical="center" shrinkToFit="1"/>
    </xf>
    <xf numFmtId="0" fontId="7" fillId="3" borderId="1" xfId="0" applyFont="1" applyFill="1" applyBorder="1" applyAlignment="1">
      <alignment wrapText="1"/>
    </xf>
    <xf numFmtId="0" fontId="8" fillId="3" borderId="1" xfId="28" applyFont="1" applyFill="1" applyBorder="1" applyAlignment="1">
      <alignment vertical="center" wrapText="1"/>
    </xf>
    <xf numFmtId="0" fontId="8" fillId="3" borderId="1" xfId="0" applyFont="1" applyFill="1" applyBorder="1" applyAlignment="1">
      <alignment wrapText="1"/>
    </xf>
    <xf numFmtId="0" fontId="8" fillId="9" borderId="1" xfId="0" applyFont="1" applyFill="1" applyBorder="1"/>
    <xf numFmtId="0" fontId="7" fillId="0" borderId="1" xfId="0" applyFont="1" applyBorder="1" applyAlignment="1">
      <alignment horizontal="left" vertical="top" wrapText="1"/>
    </xf>
    <xf numFmtId="4" fontId="7" fillId="0" borderId="1" xfId="0" applyNumberFormat="1" applyFont="1" applyBorder="1" applyAlignment="1">
      <alignment horizontal="right" vertical="center" wrapText="1"/>
    </xf>
    <xf numFmtId="0" fontId="22" fillId="0" borderId="1" xfId="0" applyFont="1" applyBorder="1" applyAlignment="1">
      <alignment horizontal="center"/>
    </xf>
    <xf numFmtId="0" fontId="22" fillId="0" borderId="1" xfId="0" applyFont="1" applyBorder="1" applyAlignment="1">
      <alignment horizontal="left" vertical="top" wrapText="1"/>
    </xf>
    <xf numFmtId="4" fontId="45" fillId="0" borderId="1" xfId="0" applyNumberFormat="1" applyFont="1" applyBorder="1" applyAlignment="1">
      <alignment horizontal="right" vertical="center" wrapText="1"/>
    </xf>
    <xf numFmtId="4" fontId="45" fillId="0" borderId="1" xfId="0" applyNumberFormat="1" applyFont="1" applyBorder="1" applyAlignment="1">
      <alignment horizontal="right" vertical="center"/>
    </xf>
    <xf numFmtId="4" fontId="45" fillId="3" borderId="1" xfId="0" applyNumberFormat="1" applyFont="1" applyFill="1" applyBorder="1" applyAlignment="1">
      <alignment horizontal="right" vertical="center"/>
    </xf>
    <xf numFmtId="0" fontId="22" fillId="0" borderId="1" xfId="0" applyFont="1" applyBorder="1" applyAlignment="1"/>
    <xf numFmtId="0" fontId="22" fillId="0" borderId="1" xfId="0" applyFont="1" applyBorder="1"/>
    <xf numFmtId="0" fontId="22" fillId="0" borderId="0" xfId="0" applyFont="1"/>
    <xf numFmtId="0" fontId="8" fillId="3" borderId="1" xfId="0" applyFont="1" applyFill="1" applyBorder="1" applyAlignment="1">
      <alignment horizontal="left" vertical="center" wrapText="1"/>
    </xf>
    <xf numFmtId="4" fontId="8" fillId="3" borderId="1" xfId="7" applyNumberFormat="1" applyFont="1" applyFill="1" applyBorder="1" applyAlignment="1">
      <alignment horizontal="right" vertical="center"/>
    </xf>
    <xf numFmtId="0" fontId="22" fillId="3" borderId="1" xfId="0" applyFont="1" applyFill="1" applyBorder="1" applyAlignment="1">
      <alignment horizontal="left" vertical="center" wrapText="1"/>
    </xf>
    <xf numFmtId="4" fontId="22" fillId="3" borderId="1" xfId="7" applyNumberFormat="1" applyFont="1" applyFill="1" applyBorder="1" applyAlignment="1">
      <alignment horizontal="right" vertical="center"/>
    </xf>
    <xf numFmtId="4" fontId="22" fillId="0" borderId="1" xfId="0" applyNumberFormat="1" applyFont="1" applyBorder="1" applyAlignment="1">
      <alignment horizontal="right" vertical="center"/>
    </xf>
    <xf numFmtId="0" fontId="22" fillId="0" borderId="1" xfId="0" applyFont="1" applyBorder="1" applyAlignment="1">
      <alignment wrapText="1"/>
    </xf>
    <xf numFmtId="0" fontId="8" fillId="0" borderId="1" xfId="0" applyFont="1" applyBorder="1" applyAlignment="1">
      <alignment horizontal="left" vertical="center" wrapText="1"/>
    </xf>
    <xf numFmtId="0" fontId="7" fillId="3" borderId="1" xfId="0" applyFont="1" applyFill="1" applyBorder="1" applyAlignment="1">
      <alignment horizontal="left" vertical="center" wrapText="1"/>
    </xf>
    <xf numFmtId="4" fontId="7" fillId="3" borderId="1" xfId="7" applyNumberFormat="1" applyFont="1" applyFill="1" applyBorder="1" applyAlignment="1">
      <alignment horizontal="right" vertical="center"/>
    </xf>
    <xf numFmtId="4" fontId="8" fillId="0" borderId="6" xfId="0" applyNumberFormat="1" applyFont="1" applyBorder="1" applyAlignment="1">
      <alignment horizontal="right" vertical="center" wrapText="1"/>
    </xf>
    <xf numFmtId="0" fontId="7" fillId="0" borderId="1" xfId="0" applyFont="1" applyBorder="1" applyAlignment="1">
      <alignment horizontal="left" vertical="center" wrapText="1"/>
    </xf>
    <xf numFmtId="0" fontId="7" fillId="9" borderId="1" xfId="0" applyFont="1" applyFill="1" applyBorder="1" applyAlignment="1">
      <alignment vertical="top" wrapText="1"/>
    </xf>
    <xf numFmtId="0" fontId="7" fillId="0" borderId="1" xfId="0" applyFont="1" applyBorder="1"/>
    <xf numFmtId="0" fontId="7" fillId="0" borderId="1" xfId="0" applyFont="1" applyBorder="1" applyAlignment="1">
      <alignment vertical="top" wrapText="1"/>
    </xf>
    <xf numFmtId="0" fontId="22" fillId="0" borderId="1" xfId="0" applyFont="1" applyBorder="1" applyAlignment="1">
      <alignment horizontal="justify" vertical="top" wrapText="1"/>
    </xf>
    <xf numFmtId="4" fontId="22" fillId="0" borderId="1" xfId="7" applyNumberFormat="1" applyFont="1" applyBorder="1" applyAlignment="1">
      <alignment horizontal="right" vertical="center"/>
    </xf>
    <xf numFmtId="4" fontId="22" fillId="3" borderId="1" xfId="0" applyNumberFormat="1" applyFont="1" applyFill="1" applyBorder="1" applyAlignment="1">
      <alignment horizontal="right" vertical="center"/>
    </xf>
    <xf numFmtId="0" fontId="22"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center"/>
    </xf>
    <xf numFmtId="0" fontId="7" fillId="0" borderId="1" xfId="0" applyFont="1" applyBorder="1" applyAlignment="1">
      <alignment horizontal="justify" vertical="top" wrapText="1"/>
    </xf>
    <xf numFmtId="0" fontId="7" fillId="0" borderId="1" xfId="0" applyFont="1" applyBorder="1" applyAlignment="1"/>
    <xf numFmtId="0" fontId="7" fillId="0" borderId="0" xfId="0" applyFont="1"/>
    <xf numFmtId="167" fontId="7" fillId="9" borderId="1" xfId="0" applyNumberFormat="1" applyFont="1" applyFill="1" applyBorder="1" applyAlignment="1">
      <alignment horizontal="right" vertical="center"/>
    </xf>
    <xf numFmtId="0" fontId="7" fillId="0" borderId="1" xfId="0" applyFont="1" applyBorder="1" applyAlignment="1">
      <alignment wrapText="1"/>
    </xf>
    <xf numFmtId="0" fontId="8" fillId="0" borderId="1" xfId="0" applyFont="1" applyBorder="1" applyAlignment="1">
      <alignment horizontal="left" wrapText="1" indent="1"/>
    </xf>
    <xf numFmtId="0" fontId="8" fillId="0" borderId="1" xfId="0" applyFont="1" applyBorder="1" applyAlignment="1">
      <alignment horizontal="left" vertical="top" wrapText="1" indent="1"/>
    </xf>
    <xf numFmtId="0" fontId="8" fillId="0" borderId="1" xfId="0" applyFont="1" applyBorder="1" applyAlignment="1">
      <alignment vertical="top"/>
    </xf>
    <xf numFmtId="0" fontId="8" fillId="0" borderId="1" xfId="0" applyFont="1" applyBorder="1" applyAlignment="1">
      <alignment horizontal="left" vertical="top" wrapText="1"/>
    </xf>
    <xf numFmtId="0" fontId="8" fillId="3" borderId="1" xfId="0" applyFont="1" applyFill="1" applyBorder="1" applyAlignment="1">
      <alignment horizontal="left" vertical="top" wrapText="1"/>
    </xf>
    <xf numFmtId="0" fontId="7" fillId="9" borderId="1" xfId="0" applyFont="1" applyFill="1" applyBorder="1"/>
    <xf numFmtId="0" fontId="8" fillId="0" borderId="2" xfId="0" applyFont="1" applyBorder="1" applyAlignment="1">
      <alignment horizontal="left" vertical="center" wrapText="1"/>
    </xf>
    <xf numFmtId="4" fontId="8" fillId="3" borderId="1" xfId="18" applyNumberFormat="1" applyFont="1" applyFill="1" applyBorder="1" applyAlignment="1">
      <alignment horizontal="right" vertical="center" shrinkToFit="1"/>
    </xf>
    <xf numFmtId="0" fontId="7" fillId="0" borderId="1" xfId="0" applyFont="1" applyBorder="1" applyAlignment="1">
      <alignment vertical="center" wrapText="1"/>
    </xf>
    <xf numFmtId="4" fontId="8" fillId="0" borderId="1" xfId="17" applyNumberFormat="1" applyFont="1" applyFill="1" applyBorder="1" applyAlignment="1">
      <alignment horizontal="right" vertical="center"/>
    </xf>
    <xf numFmtId="0" fontId="45" fillId="0" borderId="1" xfId="0" applyFont="1" applyBorder="1" applyAlignment="1">
      <alignment horizontal="justify" vertical="top" wrapText="1"/>
    </xf>
    <xf numFmtId="0" fontId="22" fillId="0" borderId="1" xfId="0" applyFont="1" applyBorder="1" applyAlignment="1">
      <alignment vertical="top" wrapText="1"/>
    </xf>
    <xf numFmtId="0" fontId="7" fillId="0" borderId="1" xfId="0" applyFont="1" applyBorder="1" applyAlignment="1">
      <alignment horizontal="left" wrapText="1"/>
    </xf>
    <xf numFmtId="0" fontId="8" fillId="0" borderId="1" xfId="0" applyFont="1" applyBorder="1" applyAlignment="1">
      <alignment horizontal="left" wrapText="1"/>
    </xf>
    <xf numFmtId="165" fontId="8" fillId="3" borderId="1" xfId="0" applyNumberFormat="1" applyFont="1" applyFill="1" applyBorder="1" applyAlignment="1">
      <alignment horizontal="center" vertical="center" wrapText="1"/>
    </xf>
    <xf numFmtId="0" fontId="22" fillId="0" borderId="1" xfId="0" applyFont="1" applyBorder="1" applyAlignment="1">
      <alignment horizontal="left" vertical="center" wrapText="1"/>
    </xf>
    <xf numFmtId="0" fontId="8" fillId="0" borderId="1" xfId="0" applyFont="1" applyBorder="1" applyAlignment="1">
      <alignment horizontal="left" vertical="center" wrapText="1" indent="1"/>
    </xf>
    <xf numFmtId="0" fontId="8" fillId="0" borderId="1" xfId="0" applyFont="1" applyBorder="1" applyAlignment="1">
      <alignment horizontal="left" vertical="center" indent="1"/>
    </xf>
    <xf numFmtId="0" fontId="7" fillId="0" borderId="1" xfId="0" applyFont="1" applyBorder="1" applyAlignment="1">
      <alignment horizontal="left" vertical="center" indent="1"/>
    </xf>
    <xf numFmtId="0" fontId="7" fillId="0" borderId="1" xfId="0" applyFont="1" applyBorder="1" applyAlignment="1">
      <alignment horizontal="center" vertical="center"/>
    </xf>
    <xf numFmtId="0" fontId="7" fillId="3" borderId="1" xfId="20" applyFont="1" applyFill="1" applyBorder="1" applyAlignment="1">
      <alignment horizontal="left" vertical="center" wrapText="1"/>
    </xf>
    <xf numFmtId="0" fontId="8" fillId="3" borderId="1" xfId="20" applyFont="1" applyFill="1" applyBorder="1" applyAlignment="1">
      <alignment horizontal="left" vertical="center" wrapText="1" indent="1"/>
    </xf>
    <xf numFmtId="0" fontId="8" fillId="3" borderId="1" xfId="20" applyFont="1" applyFill="1" applyBorder="1" applyAlignment="1">
      <alignment horizontal="left" vertical="top" wrapText="1" indent="1"/>
    </xf>
    <xf numFmtId="0" fontId="7" fillId="3" borderId="1" xfId="20" applyFont="1" applyFill="1" applyBorder="1" applyAlignment="1">
      <alignment horizontal="left" vertical="top" wrapText="1"/>
    </xf>
    <xf numFmtId="165" fontId="7" fillId="3" borderId="1" xfId="20" applyNumberFormat="1" applyFont="1" applyFill="1" applyBorder="1" applyAlignment="1">
      <alignment horizontal="right" vertical="center" wrapText="1"/>
    </xf>
    <xf numFmtId="0" fontId="8" fillId="3" borderId="1" xfId="0" applyFont="1" applyFill="1" applyBorder="1" applyAlignment="1"/>
    <xf numFmtId="0" fontId="22" fillId="3" borderId="1" xfId="20" applyFont="1" applyFill="1" applyBorder="1" applyAlignment="1">
      <alignment horizontal="left" vertical="center" wrapText="1"/>
    </xf>
    <xf numFmtId="165" fontId="22" fillId="3" borderId="1" xfId="20" applyNumberFormat="1" applyFont="1" applyFill="1" applyBorder="1" applyAlignment="1">
      <alignment horizontal="right" vertical="center" wrapText="1"/>
    </xf>
    <xf numFmtId="0" fontId="8" fillId="3" borderId="1" xfId="20" applyFont="1" applyFill="1" applyBorder="1" applyAlignment="1">
      <alignment horizontal="left" vertical="center" wrapText="1"/>
    </xf>
    <xf numFmtId="165" fontId="8" fillId="3" borderId="1" xfId="20" applyNumberFormat="1" applyFont="1" applyFill="1" applyBorder="1" applyAlignment="1">
      <alignment horizontal="right" vertical="center" wrapText="1"/>
    </xf>
    <xf numFmtId="0" fontId="7" fillId="3" borderId="1" xfId="0" applyFont="1" applyFill="1" applyBorder="1" applyAlignment="1">
      <alignment vertical="center" wrapText="1"/>
    </xf>
    <xf numFmtId="165" fontId="8" fillId="3" borderId="1" xfId="20" applyNumberFormat="1" applyFont="1" applyFill="1" applyBorder="1" applyAlignment="1">
      <alignment horizontal="right" vertical="center" wrapText="1" indent="1"/>
    </xf>
    <xf numFmtId="0" fontId="8" fillId="3" borderId="1" xfId="0" applyFont="1" applyFill="1" applyBorder="1" applyAlignment="1">
      <alignment vertical="center"/>
    </xf>
    <xf numFmtId="0" fontId="8" fillId="3" borderId="1" xfId="20" applyFont="1" applyFill="1" applyBorder="1" applyAlignment="1">
      <alignment vertical="center" wrapText="1"/>
    </xf>
    <xf numFmtId="0" fontId="22" fillId="3" borderId="1" xfId="20" applyFont="1" applyFill="1" applyBorder="1" applyAlignment="1">
      <alignment horizontal="left" vertical="top" wrapText="1"/>
    </xf>
    <xf numFmtId="165" fontId="22" fillId="3" borderId="1" xfId="20" applyNumberFormat="1" applyFont="1" applyFill="1" applyBorder="1" applyAlignment="1">
      <alignment horizontal="right" vertical="top" wrapText="1"/>
    </xf>
    <xf numFmtId="0" fontId="8" fillId="3" borderId="1" xfId="20" applyFont="1" applyFill="1" applyBorder="1" applyAlignment="1">
      <alignment horizontal="left" vertical="top" wrapText="1"/>
    </xf>
    <xf numFmtId="165" fontId="8" fillId="3" borderId="1" xfId="20" applyNumberFormat="1" applyFont="1" applyFill="1" applyBorder="1" applyAlignment="1">
      <alignment horizontal="right" vertical="top" wrapText="1"/>
    </xf>
    <xf numFmtId="0" fontId="8" fillId="3" borderId="1" xfId="0" applyFont="1" applyFill="1" applyBorder="1" applyAlignment="1">
      <alignment horizontal="right" vertical="center" wrapText="1"/>
    </xf>
    <xf numFmtId="165" fontId="8" fillId="3" borderId="1" xfId="0" applyNumberFormat="1" applyFont="1" applyFill="1" applyBorder="1" applyAlignment="1">
      <alignment horizontal="right" vertical="center" wrapText="1"/>
    </xf>
    <xf numFmtId="0" fontId="22" fillId="3" borderId="1" xfId="20" applyFont="1" applyFill="1" applyBorder="1" applyAlignment="1">
      <alignment horizontal="justify" vertical="center" wrapText="1"/>
    </xf>
    <xf numFmtId="0" fontId="7" fillId="9" borderId="1" xfId="0" applyFont="1" applyFill="1" applyBorder="1" applyAlignment="1">
      <alignment horizontal="left" vertical="center" wrapText="1"/>
    </xf>
    <xf numFmtId="167" fontId="45" fillId="9" borderId="1" xfId="0" applyNumberFormat="1" applyFont="1" applyFill="1" applyBorder="1" applyAlignment="1">
      <alignment horizontal="right" vertical="center"/>
    </xf>
    <xf numFmtId="167" fontId="8" fillId="9" borderId="1" xfId="7" applyNumberFormat="1" applyFont="1" applyFill="1" applyBorder="1" applyAlignment="1">
      <alignment horizontal="right" vertical="center"/>
    </xf>
    <xf numFmtId="0" fontId="8" fillId="9" borderId="1" xfId="0" applyFont="1" applyFill="1" applyBorder="1" applyAlignment="1">
      <alignment vertical="center"/>
    </xf>
    <xf numFmtId="0" fontId="7" fillId="3" borderId="7" xfId="0" applyFont="1" applyFill="1" applyBorder="1" applyAlignment="1">
      <alignment wrapText="1"/>
    </xf>
    <xf numFmtId="0" fontId="8" fillId="0" borderId="1" xfId="0" applyFont="1" applyBorder="1" applyAlignment="1">
      <alignment vertical="center"/>
    </xf>
    <xf numFmtId="0" fontId="22" fillId="3" borderId="7" xfId="0" applyFont="1" applyFill="1" applyBorder="1" applyAlignment="1">
      <alignment vertical="center" wrapText="1"/>
    </xf>
    <xf numFmtId="0" fontId="8" fillId="3" borderId="7" xfId="0" applyFont="1" applyFill="1" applyBorder="1" applyAlignment="1">
      <alignment wrapText="1"/>
    </xf>
    <xf numFmtId="0" fontId="8" fillId="3" borderId="7" xfId="0" applyFont="1" applyFill="1" applyBorder="1" applyAlignment="1">
      <alignment vertical="center" wrapText="1"/>
    </xf>
    <xf numFmtId="0" fontId="7" fillId="3" borderId="7" xfId="0" applyFont="1" applyFill="1" applyBorder="1" applyAlignment="1">
      <alignment vertical="center" wrapText="1"/>
    </xf>
    <xf numFmtId="0" fontId="7" fillId="3" borderId="1" xfId="0" applyFont="1" applyFill="1" applyBorder="1" applyAlignment="1">
      <alignment horizontal="left" wrapText="1"/>
    </xf>
    <xf numFmtId="172" fontId="8" fillId="0" borderId="1" xfId="0" applyNumberFormat="1" applyFont="1" applyBorder="1" applyAlignment="1">
      <alignment wrapText="1"/>
    </xf>
    <xf numFmtId="0" fontId="22" fillId="3" borderId="7" xfId="7" applyFont="1" applyFill="1" applyBorder="1" applyAlignment="1">
      <alignment vertical="center" wrapText="1"/>
    </xf>
    <xf numFmtId="0" fontId="8" fillId="3" borderId="7" xfId="7" applyFont="1" applyFill="1" applyBorder="1" applyAlignment="1">
      <alignment vertical="center" wrapText="1"/>
    </xf>
    <xf numFmtId="0" fontId="8" fillId="3" borderId="1" xfId="0" applyFont="1" applyFill="1" applyBorder="1" applyAlignment="1">
      <alignment horizontal="left" wrapText="1"/>
    </xf>
    <xf numFmtId="0" fontId="22" fillId="3" borderId="1" xfId="7" applyFont="1" applyFill="1" applyBorder="1" applyAlignment="1">
      <alignment horizontal="left" vertical="center" wrapText="1"/>
    </xf>
    <xf numFmtId="0" fontId="8" fillId="3" borderId="7" xfId="7" applyFont="1" applyFill="1" applyBorder="1" applyAlignment="1">
      <alignment vertical="center"/>
    </xf>
    <xf numFmtId="0" fontId="8" fillId="0" borderId="1" xfId="7" applyFont="1" applyBorder="1" applyAlignment="1">
      <alignment vertical="top" wrapText="1"/>
    </xf>
    <xf numFmtId="0" fontId="7" fillId="9" borderId="1" xfId="0" applyFont="1" applyFill="1" applyBorder="1" applyAlignment="1">
      <alignment vertical="center" wrapText="1"/>
    </xf>
    <xf numFmtId="4" fontId="8" fillId="9" borderId="1" xfId="0" applyNumberFormat="1" applyFont="1" applyFill="1" applyBorder="1" applyAlignment="1">
      <alignment horizontal="right" vertical="center"/>
    </xf>
    <xf numFmtId="4" fontId="7" fillId="9" borderId="1" xfId="18" applyNumberFormat="1" applyFont="1" applyFill="1" applyBorder="1" applyAlignment="1">
      <alignment horizontal="right" vertical="center" shrinkToFit="1"/>
    </xf>
    <xf numFmtId="0" fontId="45" fillId="0" borderId="1" xfId="0" applyFont="1" applyBorder="1" applyAlignment="1">
      <alignment wrapText="1"/>
    </xf>
    <xf numFmtId="4" fontId="7" fillId="3" borderId="1" xfId="18" applyNumberFormat="1" applyFont="1" applyFill="1" applyBorder="1" applyAlignment="1">
      <alignment horizontal="right" vertical="center" shrinkToFit="1"/>
    </xf>
    <xf numFmtId="0" fontId="8" fillId="0" borderId="1" xfId="0" applyFont="1" applyFill="1" applyBorder="1" applyAlignment="1">
      <alignment horizontal="left" vertical="center" wrapText="1"/>
    </xf>
    <xf numFmtId="0" fontId="8" fillId="3" borderId="1" xfId="0" quotePrefix="1" applyFont="1" applyFill="1" applyBorder="1" applyAlignment="1">
      <alignment vertical="center" wrapText="1"/>
    </xf>
    <xf numFmtId="0" fontId="45" fillId="3"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1" fontId="45" fillId="3" borderId="1" xfId="0" applyNumberFormat="1"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1" fillId="11" borderId="1" xfId="0" applyFont="1" applyFill="1" applyBorder="1"/>
    <xf numFmtId="0" fontId="16" fillId="11" borderId="1" xfId="0" applyFont="1" applyFill="1" applyBorder="1"/>
    <xf numFmtId="4" fontId="16" fillId="11" borderId="1" xfId="0" applyNumberFormat="1" applyFont="1" applyFill="1" applyBorder="1" applyAlignment="1">
      <alignment horizontal="center" vertical="center"/>
    </xf>
    <xf numFmtId="0" fontId="7" fillId="9" borderId="1" xfId="8" applyFont="1" applyFill="1" applyBorder="1" applyAlignment="1">
      <alignment horizontal="left" vertical="center" wrapText="1"/>
    </xf>
    <xf numFmtId="4" fontId="7" fillId="3" borderId="1" xfId="7" applyNumberFormat="1" applyFont="1" applyFill="1" applyBorder="1" applyAlignment="1">
      <alignment horizontal="center" vertical="center"/>
    </xf>
    <xf numFmtId="4" fontId="8" fillId="3" borderId="1" xfId="7" applyNumberFormat="1" applyFont="1" applyFill="1" applyBorder="1" applyAlignment="1">
      <alignment horizontal="center" vertical="center"/>
    </xf>
    <xf numFmtId="4" fontId="8" fillId="0" borderId="1" xfId="17" applyNumberFormat="1" applyFont="1" applyBorder="1" applyAlignment="1">
      <alignment horizontal="center" vertical="center" wrapText="1"/>
    </xf>
    <xf numFmtId="4" fontId="8" fillId="3" borderId="1" xfId="18" applyNumberFormat="1" applyFont="1" applyFill="1" applyBorder="1" applyAlignment="1">
      <alignment horizontal="center" vertical="center" shrinkToFit="1"/>
    </xf>
    <xf numFmtId="4" fontId="8" fillId="3" borderId="1" xfId="19" applyNumberFormat="1" applyFont="1" applyFill="1" applyBorder="1" applyAlignment="1">
      <alignment horizontal="center" vertical="center" shrinkToFit="1"/>
    </xf>
    <xf numFmtId="4" fontId="8" fillId="0" borderId="1" xfId="17" applyNumberFormat="1" applyFont="1" applyFill="1" applyBorder="1" applyAlignment="1">
      <alignment horizontal="center" vertical="center" wrapText="1"/>
    </xf>
    <xf numFmtId="0" fontId="46" fillId="9" borderId="0" xfId="0" applyFont="1" applyFill="1"/>
    <xf numFmtId="4" fontId="8" fillId="3" borderId="1" xfId="0" applyNumberFormat="1" applyFont="1" applyFill="1" applyBorder="1" applyAlignment="1">
      <alignment horizontal="center" vertical="center" wrapText="1"/>
    </xf>
    <xf numFmtId="0" fontId="8" fillId="0" borderId="0" xfId="0" applyFont="1" applyAlignment="1">
      <alignment vertical="center"/>
    </xf>
    <xf numFmtId="4" fontId="7" fillId="5" borderId="1" xfId="0" applyNumberFormat="1" applyFont="1" applyFill="1" applyBorder="1" applyAlignment="1">
      <alignment horizontal="center" vertical="center" wrapText="1"/>
    </xf>
    <xf numFmtId="4" fontId="7" fillId="0" borderId="1" xfId="0" applyNumberFormat="1" applyFont="1" applyBorder="1" applyAlignment="1">
      <alignment horizontal="center" vertical="center" wrapText="1"/>
    </xf>
    <xf numFmtId="0" fontId="8" fillId="0" borderId="1" xfId="0" applyFont="1" applyBorder="1" applyAlignment="1">
      <alignment horizontal="left" vertical="justify" wrapText="1"/>
    </xf>
    <xf numFmtId="4" fontId="8" fillId="3" borderId="1" xfId="7" applyNumberFormat="1" applyFont="1" applyFill="1" applyBorder="1" applyAlignment="1">
      <alignment horizontal="center" vertical="center" wrapText="1"/>
    </xf>
    <xf numFmtId="4" fontId="7" fillId="0" borderId="1" xfId="7" applyNumberFormat="1" applyFont="1" applyBorder="1" applyAlignment="1">
      <alignment horizontal="center" vertical="center"/>
    </xf>
    <xf numFmtId="0" fontId="8" fillId="2" borderId="1" xfId="0" applyFont="1" applyFill="1" applyBorder="1" applyAlignment="1">
      <alignment vertical="center" wrapText="1"/>
    </xf>
    <xf numFmtId="4" fontId="8" fillId="0" borderId="1" xfId="0" applyNumberFormat="1" applyFont="1" applyBorder="1" applyAlignment="1">
      <alignment horizontal="center" vertical="center"/>
    </xf>
    <xf numFmtId="4" fontId="8" fillId="3" borderId="1" xfId="0" applyNumberFormat="1" applyFont="1" applyFill="1" applyBorder="1" applyAlignment="1">
      <alignment horizontal="center" vertical="center"/>
    </xf>
    <xf numFmtId="4" fontId="22" fillId="0" borderId="1" xfId="7" applyNumberFormat="1" applyFont="1" applyBorder="1" applyAlignment="1">
      <alignment horizontal="center" vertical="center"/>
    </xf>
    <xf numFmtId="4" fontId="22" fillId="5" borderId="1" xfId="7" applyNumberFormat="1" applyFont="1" applyFill="1" applyBorder="1" applyAlignment="1">
      <alignment horizontal="center" vertical="center" wrapText="1"/>
    </xf>
    <xf numFmtId="4" fontId="22" fillId="3" borderId="1" xfId="7" applyNumberFormat="1" applyFont="1" applyFill="1" applyBorder="1" applyAlignment="1">
      <alignment horizontal="center" vertical="center"/>
    </xf>
    <xf numFmtId="4" fontId="8" fillId="5" borderId="1" xfId="7" applyNumberFormat="1" applyFont="1" applyFill="1" applyBorder="1" applyAlignment="1">
      <alignment horizontal="center" vertical="center" wrapText="1"/>
    </xf>
    <xf numFmtId="4" fontId="45" fillId="5" borderId="1" xfId="7" applyNumberFormat="1" applyFont="1" applyFill="1" applyBorder="1" applyAlignment="1">
      <alignment horizontal="center" vertical="center" wrapText="1"/>
    </xf>
    <xf numFmtId="4" fontId="22" fillId="0" borderId="1" xfId="0" applyNumberFormat="1" applyFont="1" applyBorder="1" applyAlignment="1">
      <alignment horizontal="center" vertical="center" wrapText="1"/>
    </xf>
    <xf numFmtId="4" fontId="45" fillId="0" borderId="1" xfId="7" applyNumberFormat="1" applyFont="1" applyBorder="1" applyAlignment="1">
      <alignment horizontal="center" vertical="center"/>
    </xf>
    <xf numFmtId="0" fontId="8" fillId="3" borderId="1" xfId="0" applyFont="1" applyFill="1" applyBorder="1" applyAlignment="1">
      <alignment horizontal="left" vertical="center" wrapText="1" indent="1"/>
    </xf>
    <xf numFmtId="4" fontId="45" fillId="3" borderId="1" xfId="7" applyNumberFormat="1" applyFont="1" applyFill="1" applyBorder="1" applyAlignment="1">
      <alignment horizontal="center" vertical="center"/>
    </xf>
    <xf numFmtId="14" fontId="8" fillId="0" borderId="1" xfId="0" applyNumberFormat="1" applyFont="1" applyBorder="1" applyAlignment="1">
      <alignment horizontal="center"/>
    </xf>
    <xf numFmtId="4" fontId="8" fillId="9" borderId="1" xfId="7" applyNumberFormat="1" applyFont="1" applyFill="1" applyBorder="1" applyAlignment="1">
      <alignment horizontal="center" vertical="center"/>
    </xf>
    <xf numFmtId="4" fontId="7" fillId="5" borderId="1" xfId="7" applyNumberFormat="1" applyFont="1" applyFill="1" applyBorder="1" applyAlignment="1">
      <alignment horizontal="center" vertical="center"/>
    </xf>
    <xf numFmtId="4" fontId="22" fillId="5" borderId="1" xfId="7" applyNumberFormat="1" applyFont="1" applyFill="1" applyBorder="1" applyAlignment="1">
      <alignment horizontal="center" vertical="center"/>
    </xf>
    <xf numFmtId="4" fontId="7" fillId="0" borderId="1" xfId="0" applyNumberFormat="1" applyFont="1" applyBorder="1" applyAlignment="1">
      <alignment horizontal="center" vertical="center"/>
    </xf>
    <xf numFmtId="4" fontId="7" fillId="3" borderId="1" xfId="0" applyNumberFormat="1" applyFont="1" applyFill="1" applyBorder="1" applyAlignment="1">
      <alignment horizontal="center" vertical="center" wrapText="1"/>
    </xf>
    <xf numFmtId="4" fontId="22" fillId="0" borderId="1" xfId="0" applyNumberFormat="1" applyFont="1" applyBorder="1" applyAlignment="1">
      <alignment horizontal="center" vertical="center"/>
    </xf>
    <xf numFmtId="4" fontId="22" fillId="3" borderId="1" xfId="0" applyNumberFormat="1" applyFont="1" applyFill="1" applyBorder="1" applyAlignment="1">
      <alignment horizontal="center" vertical="center" wrapText="1"/>
    </xf>
    <xf numFmtId="4" fontId="7" fillId="3" borderId="1" xfId="7" applyNumberFormat="1" applyFont="1" applyFill="1" applyBorder="1" applyAlignment="1">
      <alignment horizontal="center" vertical="center" wrapText="1"/>
    </xf>
    <xf numFmtId="169" fontId="7" fillId="9" borderId="1" xfId="0" applyNumberFormat="1" applyFont="1" applyFill="1" applyBorder="1" applyAlignment="1">
      <alignment horizontal="center" vertical="center"/>
    </xf>
    <xf numFmtId="169" fontId="7" fillId="0" borderId="1" xfId="0" applyNumberFormat="1" applyFont="1" applyBorder="1" applyAlignment="1">
      <alignment horizontal="center" vertical="center"/>
    </xf>
    <xf numFmtId="4" fontId="8" fillId="0" borderId="1" xfId="17" applyNumberFormat="1" applyFont="1" applyFill="1" applyBorder="1" applyAlignment="1">
      <alignment horizontal="center" vertical="center"/>
    </xf>
    <xf numFmtId="4" fontId="45" fillId="3" borderId="1" xfId="0" applyNumberFormat="1" applyFont="1" applyFill="1" applyBorder="1" applyAlignment="1">
      <alignment horizontal="center" vertical="center" wrapText="1"/>
    </xf>
    <xf numFmtId="4" fontId="7" fillId="0" borderId="1" xfId="7" applyNumberFormat="1" applyFont="1" applyBorder="1" applyAlignment="1">
      <alignment horizontal="center" vertical="center" wrapText="1"/>
    </xf>
    <xf numFmtId="0" fontId="45" fillId="0" borderId="1" xfId="0" applyFont="1" applyBorder="1" applyAlignment="1">
      <alignment horizontal="center"/>
    </xf>
    <xf numFmtId="4" fontId="45" fillId="0" borderId="1" xfId="7" applyNumberFormat="1" applyFont="1" applyBorder="1" applyAlignment="1">
      <alignment horizontal="center" vertical="center" wrapText="1"/>
    </xf>
    <xf numFmtId="4" fontId="22" fillId="0" borderId="1" xfId="7" applyNumberFormat="1" applyFont="1" applyBorder="1" applyAlignment="1">
      <alignment horizontal="center" vertical="center" wrapText="1"/>
    </xf>
    <xf numFmtId="0" fontId="45" fillId="0" borderId="0" xfId="0" applyFont="1"/>
    <xf numFmtId="4" fontId="8" fillId="0" borderId="1" xfId="7" applyNumberFormat="1" applyFont="1" applyBorder="1" applyAlignment="1">
      <alignment horizontal="center" vertical="center" wrapText="1"/>
    </xf>
    <xf numFmtId="4" fontId="22" fillId="3" borderId="1" xfId="7" applyNumberFormat="1" applyFont="1" applyFill="1" applyBorder="1" applyAlignment="1">
      <alignment horizontal="center" vertical="center" wrapText="1"/>
    </xf>
    <xf numFmtId="0" fontId="7" fillId="9" borderId="5" xfId="7" applyFont="1" applyFill="1" applyBorder="1" applyAlignment="1">
      <alignment horizontal="left" wrapText="1"/>
    </xf>
    <xf numFmtId="4" fontId="7" fillId="9" borderId="5" xfId="7" applyNumberFormat="1" applyFont="1" applyFill="1" applyBorder="1" applyAlignment="1">
      <alignment horizontal="center" vertical="center" wrapText="1"/>
    </xf>
    <xf numFmtId="4" fontId="7" fillId="5" borderId="5" xfId="7" applyNumberFormat="1" applyFont="1" applyFill="1" applyBorder="1" applyAlignment="1">
      <alignment horizontal="center" vertical="center" wrapText="1"/>
    </xf>
    <xf numFmtId="4" fontId="8" fillId="5" borderId="5" xfId="7" applyNumberFormat="1" applyFont="1" applyFill="1" applyBorder="1" applyAlignment="1">
      <alignment horizontal="center" vertical="center" wrapText="1"/>
    </xf>
    <xf numFmtId="4" fontId="7" fillId="9" borderId="5" xfId="17" applyNumberFormat="1" applyFont="1" applyFill="1" applyBorder="1" applyAlignment="1">
      <alignment horizontal="center" vertical="center" wrapText="1"/>
    </xf>
    <xf numFmtId="4" fontId="7" fillId="5" borderId="5" xfId="17" applyNumberFormat="1" applyFont="1" applyFill="1" applyBorder="1" applyAlignment="1">
      <alignment horizontal="center" vertical="center" wrapText="1"/>
    </xf>
    <xf numFmtId="4" fontId="7" fillId="3" borderId="1" xfId="17" applyNumberFormat="1" applyFont="1" applyFill="1" applyBorder="1" applyAlignment="1">
      <alignment horizontal="center" vertical="center"/>
    </xf>
    <xf numFmtId="4" fontId="45" fillId="5" borderId="5" xfId="17" applyNumberFormat="1" applyFont="1" applyFill="1" applyBorder="1" applyAlignment="1">
      <alignment horizontal="center" vertical="center" wrapText="1"/>
    </xf>
    <xf numFmtId="4" fontId="22" fillId="3" borderId="1" xfId="17" applyNumberFormat="1" applyFont="1" applyFill="1" applyBorder="1" applyAlignment="1">
      <alignment horizontal="center" vertical="center"/>
    </xf>
    <xf numFmtId="4" fontId="45" fillId="5" borderId="1" xfId="17" applyNumberFormat="1" applyFont="1" applyFill="1" applyBorder="1" applyAlignment="1">
      <alignment horizontal="center" vertical="center"/>
    </xf>
    <xf numFmtId="4" fontId="8" fillId="3" borderId="1" xfId="17" applyNumberFormat="1" applyFont="1" applyFill="1" applyBorder="1" applyAlignment="1">
      <alignment horizontal="center" vertical="center"/>
    </xf>
    <xf numFmtId="4" fontId="7" fillId="5" borderId="1" xfId="17" applyNumberFormat="1" applyFont="1" applyFill="1" applyBorder="1" applyAlignment="1">
      <alignment horizontal="center" vertical="center"/>
    </xf>
    <xf numFmtId="4" fontId="8" fillId="0" borderId="0" xfId="0" applyNumberFormat="1" applyFont="1"/>
    <xf numFmtId="4" fontId="22" fillId="3" borderId="0" xfId="17" applyNumberFormat="1" applyFont="1" applyFill="1" applyBorder="1" applyAlignment="1">
      <alignment horizontal="center" vertical="center"/>
    </xf>
    <xf numFmtId="4" fontId="8" fillId="3" borderId="8" xfId="18" applyNumberFormat="1" applyFont="1" applyFill="1" applyAlignment="1">
      <alignment horizontal="center" vertical="center" shrinkToFit="1"/>
    </xf>
    <xf numFmtId="4" fontId="22" fillId="3" borderId="8" xfId="18" applyNumberFormat="1" applyFont="1" applyFill="1" applyAlignment="1">
      <alignment horizontal="center" vertical="center" shrinkToFit="1"/>
    </xf>
    <xf numFmtId="4" fontId="7" fillId="3" borderId="8" xfId="18" applyNumberFormat="1" applyFont="1" applyFill="1" applyAlignment="1">
      <alignment horizontal="center" vertical="center" shrinkToFit="1"/>
    </xf>
    <xf numFmtId="4" fontId="22" fillId="5" borderId="1" xfId="0" applyNumberFormat="1" applyFont="1" applyFill="1" applyBorder="1" applyAlignment="1">
      <alignment horizontal="center" vertical="center" wrapText="1"/>
    </xf>
    <xf numFmtId="4" fontId="22" fillId="3" borderId="1" xfId="0" applyNumberFormat="1" applyFont="1" applyFill="1" applyBorder="1" applyAlignment="1">
      <alignment horizontal="center" vertical="center"/>
    </xf>
    <xf numFmtId="4" fontId="8" fillId="0" borderId="1"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4" fontId="45" fillId="5" borderId="1" xfId="0" applyNumberFormat="1" applyFont="1" applyFill="1" applyBorder="1" applyAlignment="1">
      <alignment horizontal="center" vertical="center" wrapText="1"/>
    </xf>
    <xf numFmtId="4" fontId="45" fillId="3" borderId="1" xfId="0" applyNumberFormat="1" applyFont="1" applyFill="1" applyBorder="1" applyAlignment="1">
      <alignment horizontal="center" vertical="center"/>
    </xf>
    <xf numFmtId="4" fontId="7" fillId="5" borderId="1" xfId="0" applyNumberFormat="1" applyFont="1" applyFill="1" applyBorder="1" applyAlignment="1">
      <alignment horizontal="center" vertical="center"/>
    </xf>
    <xf numFmtId="4" fontId="7" fillId="3" borderId="1" xfId="0" applyNumberFormat="1" applyFont="1" applyFill="1" applyBorder="1" applyAlignment="1">
      <alignment horizontal="center" vertical="center"/>
    </xf>
    <xf numFmtId="4" fontId="22" fillId="5" borderId="1" xfId="0" applyNumberFormat="1" applyFont="1" applyFill="1" applyBorder="1" applyAlignment="1">
      <alignment horizontal="center" vertical="center"/>
    </xf>
    <xf numFmtId="4" fontId="22" fillId="3" borderId="1" xfId="20" applyNumberFormat="1" applyFont="1" applyFill="1" applyBorder="1" applyAlignment="1">
      <alignment horizontal="center" vertical="center" wrapText="1"/>
    </xf>
    <xf numFmtId="4" fontId="22" fillId="0" borderId="1" xfId="20" applyNumberFormat="1" applyFont="1" applyBorder="1" applyAlignment="1">
      <alignment horizontal="center" vertical="center" wrapText="1"/>
    </xf>
    <xf numFmtId="4" fontId="45" fillId="5" borderId="1" xfId="0" applyNumberFormat="1" applyFont="1" applyFill="1" applyBorder="1" applyAlignment="1">
      <alignment horizontal="center" vertical="center"/>
    </xf>
    <xf numFmtId="4" fontId="22" fillId="3" borderId="1" xfId="17" applyNumberFormat="1" applyFont="1" applyFill="1" applyBorder="1" applyAlignment="1">
      <alignment horizontal="center" vertical="center" wrapText="1"/>
    </xf>
    <xf numFmtId="4" fontId="8" fillId="3" borderId="1" xfId="20" applyNumberFormat="1" applyFont="1" applyFill="1" applyBorder="1" applyAlignment="1">
      <alignment horizontal="center" vertical="center" wrapText="1"/>
    </xf>
    <xf numFmtId="4" fontId="8" fillId="3" borderId="1" xfId="17" applyNumberFormat="1" applyFont="1" applyFill="1" applyBorder="1" applyAlignment="1">
      <alignment horizontal="center" vertical="center" wrapText="1"/>
    </xf>
    <xf numFmtId="4" fontId="22" fillId="0" borderId="0" xfId="0" applyNumberFormat="1" applyFont="1"/>
    <xf numFmtId="4" fontId="8" fillId="3" borderId="1" xfId="20" applyNumberFormat="1" applyFont="1" applyFill="1" applyBorder="1" applyAlignment="1">
      <alignment horizontal="center" vertical="center"/>
    </xf>
    <xf numFmtId="4" fontId="22" fillId="3" borderId="1" xfId="20" applyNumberFormat="1" applyFont="1" applyFill="1" applyBorder="1" applyAlignment="1">
      <alignment horizontal="center" vertical="center"/>
    </xf>
    <xf numFmtId="0" fontId="7" fillId="9" borderId="1" xfId="0" applyFont="1" applyFill="1" applyBorder="1" applyAlignment="1">
      <alignment horizontal="justify"/>
    </xf>
    <xf numFmtId="0" fontId="22" fillId="3" borderId="1" xfId="0" applyFont="1" applyFill="1" applyBorder="1" applyAlignment="1">
      <alignment wrapText="1"/>
    </xf>
    <xf numFmtId="4" fontId="8" fillId="9" borderId="1" xfId="0" applyNumberFormat="1" applyFont="1" applyFill="1" applyBorder="1" applyAlignment="1">
      <alignment horizontal="center" vertical="center"/>
    </xf>
    <xf numFmtId="49" fontId="8" fillId="0" borderId="1" xfId="9" applyNumberFormat="1" applyFont="1" applyBorder="1" applyAlignment="1">
      <alignment horizontal="center" vertical="center" wrapText="1"/>
    </xf>
    <xf numFmtId="165" fontId="44" fillId="0" borderId="1" xfId="0" applyNumberFormat="1" applyFont="1" applyFill="1" applyBorder="1" applyAlignment="1">
      <alignment horizontal="center" vertical="center" wrapText="1"/>
    </xf>
    <xf numFmtId="1" fontId="44" fillId="0" borderId="1" xfId="0" applyNumberFormat="1" applyFont="1" applyFill="1" applyBorder="1" applyAlignment="1">
      <alignment horizontal="center" vertical="center" wrapText="1"/>
    </xf>
    <xf numFmtId="1" fontId="44" fillId="3" borderId="1" xfId="0" applyNumberFormat="1" applyFont="1" applyFill="1" applyBorder="1" applyAlignment="1">
      <alignment horizontal="center" vertical="center" wrapText="1"/>
    </xf>
    <xf numFmtId="0" fontId="8" fillId="0" borderId="1" xfId="9" applyFont="1" applyBorder="1" applyAlignment="1">
      <alignment horizontal="center" vertical="center" wrapText="1" readingOrder="1"/>
    </xf>
    <xf numFmtId="165" fontId="44" fillId="3" borderId="1" xfId="0" applyNumberFormat="1" applyFont="1" applyFill="1" applyBorder="1" applyAlignment="1">
      <alignment horizontal="center" vertical="center" wrapText="1"/>
    </xf>
    <xf numFmtId="165" fontId="44" fillId="0" borderId="1" xfId="0" applyNumberFormat="1" applyFont="1" applyFill="1" applyBorder="1" applyAlignment="1">
      <alignment horizontal="center" vertical="center"/>
    </xf>
    <xf numFmtId="165" fontId="44" fillId="3" borderId="1" xfId="0" applyNumberFormat="1" applyFont="1" applyFill="1" applyBorder="1" applyAlignment="1">
      <alignment horizontal="center" vertical="center"/>
    </xf>
    <xf numFmtId="0" fontId="44" fillId="0" borderId="1" xfId="0" applyFont="1" applyFill="1" applyBorder="1" applyAlignment="1">
      <alignment horizontal="center" vertical="center"/>
    </xf>
    <xf numFmtId="0" fontId="44" fillId="3" borderId="1" xfId="0" applyFont="1" applyFill="1" applyBorder="1" applyAlignment="1">
      <alignment horizontal="center" vertical="center"/>
    </xf>
    <xf numFmtId="0" fontId="11" fillId="0" borderId="0" xfId="0" applyFont="1" applyAlignment="1">
      <alignment horizontal="center"/>
    </xf>
    <xf numFmtId="164" fontId="11" fillId="0" borderId="0" xfId="0" applyNumberFormat="1" applyFont="1" applyAlignment="1">
      <alignment horizontal="center"/>
    </xf>
    <xf numFmtId="165" fontId="8" fillId="2" borderId="0" xfId="8" applyNumberFormat="1" applyFont="1" applyFill="1"/>
    <xf numFmtId="0" fontId="11" fillId="0" borderId="0" xfId="0" applyFont="1" applyFill="1" applyBorder="1"/>
    <xf numFmtId="0" fontId="16" fillId="0" borderId="0" xfId="0" applyFont="1" applyFill="1" applyBorder="1"/>
    <xf numFmtId="4" fontId="16" fillId="0" borderId="0" xfId="0" applyNumberFormat="1" applyFont="1" applyFill="1" applyBorder="1" applyAlignment="1">
      <alignment horizontal="center" vertical="center"/>
    </xf>
    <xf numFmtId="0" fontId="11" fillId="0" borderId="0" xfId="0" applyFont="1" applyFill="1"/>
    <xf numFmtId="0" fontId="7" fillId="0" borderId="1" xfId="0" applyFont="1" applyBorder="1" applyAlignment="1">
      <alignment horizontal="right" vertical="center" wrapText="1"/>
    </xf>
    <xf numFmtId="165" fontId="7" fillId="0" borderId="1" xfId="0" applyNumberFormat="1" applyFont="1" applyBorder="1" applyAlignment="1">
      <alignment horizontal="right" vertical="center" wrapText="1"/>
    </xf>
    <xf numFmtId="0" fontId="22" fillId="0" borderId="1" xfId="0" applyFont="1" applyBorder="1" applyAlignment="1">
      <alignment horizontal="right" vertical="center" wrapText="1"/>
    </xf>
    <xf numFmtId="165" fontId="22" fillId="0" borderId="1" xfId="0" applyNumberFormat="1" applyFont="1" applyBorder="1" applyAlignment="1">
      <alignment horizontal="right" vertical="center" wrapText="1"/>
    </xf>
    <xf numFmtId="0" fontId="8" fillId="0" borderId="1" xfId="0" applyFont="1" applyBorder="1" applyAlignment="1">
      <alignment horizontal="right" vertical="center" wrapText="1"/>
    </xf>
    <xf numFmtId="165" fontId="8" fillId="0" borderId="1" xfId="0" applyNumberFormat="1" applyFont="1" applyBorder="1" applyAlignment="1">
      <alignment horizontal="right" vertical="center" wrapText="1"/>
    </xf>
    <xf numFmtId="0" fontId="22" fillId="0" borderId="1" xfId="0" applyFont="1" applyBorder="1" applyAlignment="1">
      <alignment horizontal="right" vertical="center"/>
    </xf>
    <xf numFmtId="2" fontId="7" fillId="0" borderId="1" xfId="0" applyNumberFormat="1" applyFont="1" applyBorder="1" applyAlignment="1">
      <alignment horizontal="right" vertical="center" wrapText="1"/>
    </xf>
    <xf numFmtId="4" fontId="7" fillId="0" borderId="1" xfId="7" applyNumberFormat="1" applyFont="1" applyBorder="1" applyAlignment="1">
      <alignment vertical="center"/>
    </xf>
    <xf numFmtId="4" fontId="7" fillId="0" borderId="1" xfId="0" applyNumberFormat="1" applyFont="1" applyBorder="1" applyAlignment="1">
      <alignment vertical="center"/>
    </xf>
    <xf numFmtId="4" fontId="7" fillId="3" borderId="1" xfId="0" applyNumberFormat="1" applyFont="1" applyFill="1" applyBorder="1" applyAlignment="1">
      <alignment vertical="center"/>
    </xf>
    <xf numFmtId="4" fontId="8" fillId="0" borderId="1" xfId="0" applyNumberFormat="1" applyFont="1" applyBorder="1" applyAlignment="1">
      <alignment vertical="center" wrapText="1"/>
    </xf>
    <xf numFmtId="4" fontId="8" fillId="0" borderId="1" xfId="0" applyNumberFormat="1" applyFont="1" applyBorder="1" applyAlignment="1">
      <alignment vertical="center"/>
    </xf>
    <xf numFmtId="4" fontId="8" fillId="3" borderId="1" xfId="0" applyNumberFormat="1" applyFont="1" applyFill="1" applyBorder="1" applyAlignment="1">
      <alignment vertical="center"/>
    </xf>
    <xf numFmtId="165" fontId="7" fillId="3" borderId="1" xfId="0" applyNumberFormat="1" applyFont="1" applyFill="1" applyBorder="1" applyAlignment="1">
      <alignment horizontal="right" vertical="center" wrapText="1"/>
    </xf>
    <xf numFmtId="165" fontId="8" fillId="0" borderId="1" xfId="0" applyNumberFormat="1" applyFont="1" applyBorder="1" applyAlignment="1">
      <alignment horizontal="right" vertical="center"/>
    </xf>
    <xf numFmtId="165" fontId="7" fillId="0" borderId="1" xfId="0" applyNumberFormat="1" applyFont="1" applyBorder="1" applyAlignment="1">
      <alignment horizontal="right" vertical="center"/>
    </xf>
    <xf numFmtId="0" fontId="7" fillId="3" borderId="1" xfId="0" applyFont="1" applyFill="1" applyBorder="1" applyAlignment="1">
      <alignment horizontal="left" vertical="top" wrapText="1"/>
    </xf>
    <xf numFmtId="167" fontId="7" fillId="3" borderId="7" xfId="0" applyNumberFormat="1" applyFont="1" applyFill="1" applyBorder="1" applyAlignment="1">
      <alignment horizontal="right" vertical="center" wrapText="1"/>
    </xf>
    <xf numFmtId="167" fontId="8" fillId="3" borderId="7" xfId="0" applyNumberFormat="1" applyFont="1" applyFill="1" applyBorder="1" applyAlignment="1">
      <alignment horizontal="right" vertical="center" wrapText="1"/>
    </xf>
    <xf numFmtId="0" fontId="7" fillId="0" borderId="1" xfId="0" applyFont="1" applyBorder="1" applyAlignment="1">
      <alignment vertical="center"/>
    </xf>
    <xf numFmtId="0" fontId="29" fillId="0" borderId="0" xfId="0" applyFont="1"/>
    <xf numFmtId="167" fontId="22" fillId="3" borderId="7" xfId="0" applyNumberFormat="1" applyFont="1" applyFill="1" applyBorder="1" applyAlignment="1">
      <alignment horizontal="right" vertical="center" wrapText="1"/>
    </xf>
    <xf numFmtId="167" fontId="7" fillId="3" borderId="1" xfId="0" applyNumberFormat="1" applyFont="1" applyFill="1" applyBorder="1" applyAlignment="1">
      <alignment horizontal="right" vertical="center" wrapText="1"/>
    </xf>
    <xf numFmtId="167" fontId="8" fillId="3" borderId="1" xfId="0" applyNumberFormat="1" applyFont="1" applyFill="1" applyBorder="1" applyAlignment="1">
      <alignment horizontal="right" vertical="center" wrapText="1"/>
    </xf>
    <xf numFmtId="167" fontId="22" fillId="3" borderId="7" xfId="7" applyNumberFormat="1" applyFont="1" applyFill="1" applyBorder="1" applyAlignment="1">
      <alignment horizontal="right" vertical="center" wrapText="1"/>
    </xf>
    <xf numFmtId="167" fontId="8" fillId="3" borderId="7" xfId="7" applyNumberFormat="1" applyFont="1" applyFill="1" applyBorder="1" applyAlignment="1">
      <alignment horizontal="right" vertical="center" wrapText="1"/>
    </xf>
    <xf numFmtId="167" fontId="8" fillId="3" borderId="7" xfId="7" applyNumberFormat="1" applyFont="1" applyFill="1" applyBorder="1" applyAlignment="1">
      <alignment horizontal="right" vertical="center"/>
    </xf>
    <xf numFmtId="167" fontId="7" fillId="3" borderId="1" xfId="7" applyNumberFormat="1" applyFont="1" applyFill="1" applyBorder="1" applyAlignment="1">
      <alignment horizontal="right" vertical="center" wrapText="1"/>
    </xf>
    <xf numFmtId="167" fontId="8" fillId="3" borderId="1" xfId="7" applyNumberFormat="1" applyFont="1" applyFill="1" applyBorder="1" applyAlignment="1">
      <alignment horizontal="right" vertical="center" wrapText="1"/>
    </xf>
    <xf numFmtId="172" fontId="7" fillId="0" borderId="1" xfId="0" applyNumberFormat="1" applyFont="1" applyBorder="1" applyAlignment="1">
      <alignment wrapText="1"/>
    </xf>
    <xf numFmtId="172" fontId="7" fillId="0" borderId="1" xfId="0" applyNumberFormat="1" applyFont="1" applyBorder="1" applyAlignment="1">
      <alignment vertical="center" wrapText="1"/>
    </xf>
    <xf numFmtId="0" fontId="29" fillId="0" borderId="0" xfId="0" applyFont="1" applyAlignment="1">
      <alignment vertical="center"/>
    </xf>
    <xf numFmtId="172" fontId="22" fillId="0" borderId="1" xfId="0" applyNumberFormat="1" applyFont="1" applyBorder="1" applyAlignment="1">
      <alignment horizontal="right" wrapText="1"/>
    </xf>
    <xf numFmtId="165" fontId="22" fillId="3" borderId="1" xfId="0" applyNumberFormat="1" applyFont="1" applyFill="1" applyBorder="1" applyAlignment="1">
      <alignment horizontal="right" vertical="center" wrapText="1"/>
    </xf>
    <xf numFmtId="165" fontId="8" fillId="0" borderId="1" xfId="0" applyNumberFormat="1" applyFont="1" applyFill="1" applyBorder="1" applyAlignment="1">
      <alignment horizontal="right" vertical="center" wrapText="1"/>
    </xf>
    <xf numFmtId="165" fontId="8" fillId="3" borderId="1" xfId="0" quotePrefix="1" applyNumberFormat="1" applyFont="1" applyFill="1" applyBorder="1" applyAlignment="1">
      <alignment horizontal="right" vertical="center" wrapText="1"/>
    </xf>
    <xf numFmtId="165" fontId="45" fillId="3" borderId="1" xfId="0" applyNumberFormat="1" applyFont="1" applyFill="1" applyBorder="1" applyAlignment="1">
      <alignment horizontal="right" vertical="center" wrapText="1"/>
    </xf>
    <xf numFmtId="165" fontId="8" fillId="4" borderId="1" xfId="0" applyNumberFormat="1" applyFont="1" applyFill="1" applyBorder="1" applyAlignment="1">
      <alignment horizontal="right" vertical="center" wrapText="1"/>
    </xf>
    <xf numFmtId="4" fontId="8" fillId="3" borderId="1" xfId="9" applyNumberFormat="1" applyFont="1" applyFill="1" applyBorder="1" applyAlignment="1">
      <alignment horizontal="center" vertical="center" wrapText="1"/>
    </xf>
    <xf numFmtId="1" fontId="8" fillId="0" borderId="1" xfId="2" applyNumberFormat="1" applyFont="1" applyFill="1" applyBorder="1" applyAlignment="1">
      <alignment horizontal="center" wrapText="1"/>
    </xf>
    <xf numFmtId="0" fontId="8" fillId="0" borderId="1" xfId="9" applyFont="1" applyFill="1" applyBorder="1" applyAlignment="1">
      <alignment horizontal="center" vertical="center" wrapText="1"/>
    </xf>
    <xf numFmtId="0" fontId="8" fillId="18" borderId="1" xfId="0" applyFont="1" applyFill="1" applyBorder="1" applyAlignment="1">
      <alignment horizontal="center"/>
    </xf>
    <xf numFmtId="2" fontId="8" fillId="3" borderId="7" xfId="0" applyNumberFormat="1" applyFont="1" applyFill="1" applyBorder="1" applyAlignment="1">
      <alignment horizontal="right" vertical="center" wrapText="1"/>
    </xf>
    <xf numFmtId="2" fontId="22" fillId="3" borderId="7" xfId="0" applyNumberFormat="1" applyFont="1" applyFill="1" applyBorder="1" applyAlignment="1">
      <alignment horizontal="right" vertical="center" wrapText="1"/>
    </xf>
    <xf numFmtId="2" fontId="22" fillId="3" borderId="7" xfId="7" applyNumberFormat="1" applyFont="1" applyFill="1" applyBorder="1" applyAlignment="1">
      <alignment horizontal="right" vertical="center" wrapText="1"/>
    </xf>
    <xf numFmtId="2" fontId="8" fillId="3" borderId="7" xfId="7" applyNumberFormat="1" applyFont="1" applyFill="1" applyBorder="1" applyAlignment="1">
      <alignment horizontal="right" vertical="center" wrapText="1"/>
    </xf>
    <xf numFmtId="2" fontId="7" fillId="3" borderId="1" xfId="7" applyNumberFormat="1" applyFont="1" applyFill="1" applyBorder="1" applyAlignment="1">
      <alignment horizontal="right" vertical="center" wrapText="1"/>
    </xf>
    <xf numFmtId="2" fontId="8" fillId="3" borderId="1" xfId="7" applyNumberFormat="1" applyFont="1" applyFill="1" applyBorder="1" applyAlignment="1">
      <alignment horizontal="right" vertical="center" wrapText="1"/>
    </xf>
    <xf numFmtId="2" fontId="7" fillId="9" borderId="5" xfId="17" applyNumberFormat="1" applyFont="1" applyFill="1" applyBorder="1" applyAlignment="1">
      <alignment horizontal="right" vertical="center" wrapText="1"/>
    </xf>
    <xf numFmtId="2" fontId="7" fillId="3" borderId="7" xfId="0" applyNumberFormat="1" applyFont="1" applyFill="1" applyBorder="1" applyAlignment="1">
      <alignment horizontal="right" vertical="center" wrapText="1"/>
    </xf>
    <xf numFmtId="2" fontId="7" fillId="3" borderId="1" xfId="0" applyNumberFormat="1" applyFont="1" applyFill="1" applyBorder="1" applyAlignment="1">
      <alignment horizontal="right" vertical="center" wrapText="1"/>
    </xf>
    <xf numFmtId="2" fontId="8" fillId="3" borderId="1" xfId="0" applyNumberFormat="1" applyFont="1" applyFill="1" applyBorder="1" applyAlignment="1">
      <alignment horizontal="right" vertical="center" wrapText="1"/>
    </xf>
    <xf numFmtId="2" fontId="8" fillId="3" borderId="7" xfId="7" applyNumberFormat="1" applyFont="1" applyFill="1" applyBorder="1" applyAlignment="1">
      <alignment horizontal="right" vertical="center"/>
    </xf>
    <xf numFmtId="0" fontId="28" fillId="3" borderId="7" xfId="0" applyFont="1" applyFill="1" applyBorder="1" applyAlignment="1">
      <alignment horizontal="center" vertical="center" wrapText="1"/>
    </xf>
    <xf numFmtId="172" fontId="8" fillId="0" borderId="1" xfId="0" applyNumberFormat="1" applyFont="1" applyBorder="1" applyAlignment="1">
      <alignment vertical="top" wrapText="1"/>
    </xf>
    <xf numFmtId="0" fontId="11" fillId="9" borderId="1" xfId="0" applyFont="1" applyFill="1" applyBorder="1" applyAlignment="1">
      <alignment horizontal="left"/>
    </xf>
    <xf numFmtId="0" fontId="11" fillId="0" borderId="1" xfId="0" applyFont="1" applyBorder="1" applyAlignment="1">
      <alignment horizontal="left"/>
    </xf>
    <xf numFmtId="0" fontId="8" fillId="9" borderId="1" xfId="0" applyFont="1" applyFill="1" applyBorder="1" applyAlignment="1">
      <alignment horizontal="left"/>
    </xf>
    <xf numFmtId="0" fontId="8" fillId="0" borderId="1" xfId="0" applyFont="1" applyBorder="1" applyAlignment="1">
      <alignment horizontal="left"/>
    </xf>
    <xf numFmtId="0" fontId="11" fillId="0" borderId="1" xfId="0" applyFont="1" applyFill="1" applyBorder="1" applyAlignment="1">
      <alignment vertical="center" wrapText="1"/>
    </xf>
    <xf numFmtId="4" fontId="11" fillId="0" borderId="1" xfId="0" applyNumberFormat="1" applyFont="1" applyFill="1" applyBorder="1" applyAlignment="1">
      <alignment horizontal="right" vertical="center"/>
    </xf>
    <xf numFmtId="4" fontId="20" fillId="3" borderId="1" xfId="18" applyNumberFormat="1" applyFont="1" applyFill="1" applyBorder="1" applyAlignment="1">
      <alignment horizontal="right" vertical="center" shrinkToFit="1"/>
    </xf>
    <xf numFmtId="2" fontId="11" fillId="0" borderId="1" xfId="0" applyNumberFormat="1" applyFont="1" applyBorder="1" applyAlignment="1">
      <alignment horizontal="right" vertical="center"/>
    </xf>
    <xf numFmtId="0" fontId="20" fillId="0" borderId="1" xfId="0" applyFont="1" applyBorder="1" applyAlignment="1">
      <alignment wrapText="1"/>
    </xf>
    <xf numFmtId="0" fontId="11" fillId="18" borderId="1" xfId="0" applyFont="1" applyFill="1" applyBorder="1" applyAlignment="1">
      <alignment horizontal="center"/>
    </xf>
    <xf numFmtId="1" fontId="8" fillId="0" borderId="1" xfId="8" applyNumberFormat="1" applyFont="1" applyFill="1" applyBorder="1" applyAlignment="1">
      <alignment horizontal="center" vertical="center"/>
    </xf>
    <xf numFmtId="165" fontId="8" fillId="0" borderId="1" xfId="9" applyNumberFormat="1" applyFont="1" applyFill="1" applyBorder="1" applyAlignment="1">
      <alignment horizontal="center" vertical="center" wrapText="1"/>
    </xf>
    <xf numFmtId="0" fontId="8" fillId="2" borderId="0" xfId="1" applyFont="1" applyFill="1" applyBorder="1" applyAlignment="1">
      <alignment wrapText="1"/>
    </xf>
    <xf numFmtId="0" fontId="8" fillId="2" borderId="0" xfId="1" applyFont="1" applyFill="1" applyBorder="1" applyAlignment="1">
      <alignment horizontal="left" vertical="center"/>
    </xf>
    <xf numFmtId="16" fontId="8" fillId="2" borderId="0" xfId="1" applyNumberFormat="1" applyFont="1" applyFill="1" applyBorder="1" applyAlignment="1">
      <alignment horizontal="left" vertical="top" wrapText="1"/>
    </xf>
    <xf numFmtId="0" fontId="3" fillId="2" borderId="0" xfId="0" applyFont="1" applyFill="1"/>
    <xf numFmtId="0" fontId="2" fillId="2" borderId="1" xfId="0" applyFont="1" applyFill="1" applyBorder="1" applyAlignment="1">
      <alignment horizontal="center" wrapText="1"/>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1" xfId="0" applyFont="1" applyFill="1" applyBorder="1" applyAlignment="1">
      <alignment horizontal="center" vertical="top" wrapText="1"/>
    </xf>
    <xf numFmtId="0" fontId="8" fillId="0" borderId="1" xfId="0" applyFont="1" applyBorder="1" applyAlignment="1">
      <alignment wrapText="1"/>
    </xf>
    <xf numFmtId="0" fontId="8" fillId="0" borderId="1" xfId="0" applyFont="1" applyBorder="1" applyAlignment="1">
      <alignment vertical="top" wrapText="1"/>
    </xf>
    <xf numFmtId="0" fontId="8" fillId="2" borderId="0" xfId="8" applyFont="1" applyFill="1" applyBorder="1" applyAlignment="1">
      <alignment wrapText="1"/>
    </xf>
    <xf numFmtId="165" fontId="8" fillId="3" borderId="1" xfId="8" applyNumberFormat="1" applyFont="1" applyFill="1" applyBorder="1" applyAlignment="1">
      <alignment horizontal="center" vertical="center"/>
    </xf>
    <xf numFmtId="0" fontId="11" fillId="0" borderId="0" xfId="0" applyFont="1" applyFill="1" applyBorder="1" applyAlignment="1">
      <alignment horizontal="left" vertical="top" wrapText="1"/>
    </xf>
    <xf numFmtId="2" fontId="7" fillId="18" borderId="1" xfId="8" applyNumberFormat="1" applyFont="1" applyFill="1" applyBorder="1" applyAlignment="1">
      <alignment horizontal="center" vertical="center"/>
    </xf>
    <xf numFmtId="4" fontId="8" fillId="0" borderId="1" xfId="0" applyNumberFormat="1" applyFont="1" applyBorder="1" applyAlignment="1">
      <alignment horizontal="right" vertical="center" wrapText="1"/>
    </xf>
    <xf numFmtId="4" fontId="22" fillId="0" borderId="1" xfId="0" applyNumberFormat="1" applyFont="1" applyBorder="1" applyAlignment="1">
      <alignment horizontal="right" vertical="center" wrapText="1"/>
    </xf>
    <xf numFmtId="0" fontId="11" fillId="0" borderId="1" xfId="28" applyFont="1" applyBorder="1" applyAlignment="1">
      <alignment vertical="center" wrapText="1"/>
    </xf>
    <xf numFmtId="2" fontId="7" fillId="3" borderId="1" xfId="20" applyNumberFormat="1" applyFont="1" applyFill="1" applyBorder="1" applyAlignment="1">
      <alignment horizontal="right" vertical="center" wrapText="1"/>
    </xf>
    <xf numFmtId="2" fontId="8" fillId="3" borderId="1" xfId="20" applyNumberFormat="1" applyFont="1" applyFill="1" applyBorder="1" applyAlignment="1">
      <alignment horizontal="right" vertical="center" wrapText="1"/>
    </xf>
    <xf numFmtId="2" fontId="8" fillId="3" borderId="1" xfId="20" applyNumberFormat="1" applyFont="1" applyFill="1" applyBorder="1" applyAlignment="1">
      <alignment horizontal="right" vertical="top" wrapText="1"/>
    </xf>
    <xf numFmtId="2" fontId="7" fillId="3" borderId="1" xfId="20" applyNumberFormat="1" applyFont="1" applyFill="1" applyBorder="1" applyAlignment="1">
      <alignment horizontal="right" vertical="top" wrapText="1"/>
    </xf>
    <xf numFmtId="2" fontId="7" fillId="18" borderId="1" xfId="8" applyNumberFormat="1" applyFont="1" applyFill="1" applyBorder="1" applyAlignment="1">
      <alignment horizontal="center"/>
    </xf>
    <xf numFmtId="0" fontId="8" fillId="0" borderId="1" xfId="8" applyFont="1" applyFill="1" applyBorder="1" applyAlignment="1">
      <alignment vertical="center"/>
    </xf>
    <xf numFmtId="0" fontId="8" fillId="0" borderId="1" xfId="9" applyFont="1" applyFill="1" applyBorder="1" applyAlignment="1">
      <alignment horizontal="center" vertical="center"/>
    </xf>
    <xf numFmtId="0" fontId="8" fillId="0" borderId="0" xfId="8" applyFont="1" applyFill="1"/>
    <xf numFmtId="0" fontId="49" fillId="3" borderId="7" xfId="0" applyFont="1" applyFill="1" applyBorder="1" applyAlignment="1">
      <alignment vertical="center" wrapText="1"/>
    </xf>
    <xf numFmtId="0" fontId="49" fillId="3" borderId="7" xfId="0" applyFont="1" applyFill="1" applyBorder="1" applyAlignment="1">
      <alignment vertical="center"/>
    </xf>
    <xf numFmtId="0" fontId="48" fillId="0" borderId="1" xfId="0" applyFont="1" applyBorder="1" applyAlignment="1">
      <alignment horizontal="left" vertical="top" wrapText="1"/>
    </xf>
    <xf numFmtId="0" fontId="49" fillId="0" borderId="1" xfId="0" applyFont="1" applyBorder="1" applyAlignment="1">
      <alignment horizontal="left" vertical="top" wrapText="1"/>
    </xf>
    <xf numFmtId="165" fontId="7" fillId="0" borderId="1" xfId="0" applyNumberFormat="1" applyFont="1" applyBorder="1" applyAlignment="1">
      <alignment vertical="center"/>
    </xf>
    <xf numFmtId="4" fontId="7" fillId="0" borderId="1" xfId="0" applyNumberFormat="1" applyFont="1" applyBorder="1" applyAlignment="1">
      <alignment vertical="center" wrapText="1"/>
    </xf>
    <xf numFmtId="165" fontId="7" fillId="0" borderId="1" xfId="0" applyNumberFormat="1" applyFont="1" applyBorder="1" applyAlignment="1">
      <alignment vertical="center" wrapText="1"/>
    </xf>
    <xf numFmtId="4" fontId="45" fillId="0" borderId="1" xfId="0" applyNumberFormat="1" applyFont="1" applyBorder="1" applyAlignment="1">
      <alignment vertical="center" wrapText="1"/>
    </xf>
    <xf numFmtId="165" fontId="45" fillId="0" borderId="1" xfId="0" applyNumberFormat="1" applyFont="1" applyBorder="1" applyAlignment="1">
      <alignment vertical="center" wrapText="1"/>
    </xf>
    <xf numFmtId="4" fontId="8" fillId="0" borderId="1" xfId="7" applyNumberFormat="1" applyFont="1" applyBorder="1" applyAlignment="1">
      <alignment vertical="center" wrapText="1"/>
    </xf>
    <xf numFmtId="165" fontId="8" fillId="0" borderId="1" xfId="7" applyNumberFormat="1" applyFont="1" applyBorder="1" applyAlignment="1">
      <alignment vertical="center" wrapText="1"/>
    </xf>
    <xf numFmtId="4" fontId="22" fillId="0" borderId="1" xfId="0" applyNumberFormat="1" applyFont="1" applyBorder="1" applyAlignment="1">
      <alignment vertical="center" wrapText="1"/>
    </xf>
    <xf numFmtId="165" fontId="22" fillId="0" borderId="1" xfId="0" applyNumberFormat="1" applyFont="1" applyBorder="1" applyAlignment="1">
      <alignment vertical="center" wrapText="1"/>
    </xf>
    <xf numFmtId="165" fontId="8" fillId="0" borderId="1" xfId="0" applyNumberFormat="1" applyFont="1" applyBorder="1" applyAlignment="1">
      <alignment vertical="center" wrapText="1"/>
    </xf>
    <xf numFmtId="4" fontId="49" fillId="3" borderId="1" xfId="0" applyNumberFormat="1" applyFont="1" applyFill="1" applyBorder="1" applyAlignment="1">
      <alignment vertical="center" wrapText="1"/>
    </xf>
    <xf numFmtId="2" fontId="7" fillId="0" borderId="1" xfId="0" applyNumberFormat="1" applyFont="1" applyBorder="1" applyAlignment="1">
      <alignment vertical="center"/>
    </xf>
    <xf numFmtId="2" fontId="7" fillId="0" borderId="1" xfId="0" applyNumberFormat="1" applyFont="1" applyBorder="1" applyAlignment="1">
      <alignment vertical="center" wrapText="1"/>
    </xf>
    <xf numFmtId="2" fontId="45" fillId="0" borderId="1" xfId="0" applyNumberFormat="1" applyFont="1" applyBorder="1" applyAlignment="1">
      <alignment vertical="center" wrapText="1"/>
    </xf>
    <xf numFmtId="2" fontId="8" fillId="0" borderId="1" xfId="7" applyNumberFormat="1" applyFont="1" applyBorder="1" applyAlignment="1">
      <alignment vertical="center" wrapText="1"/>
    </xf>
    <xf numFmtId="2" fontId="22" fillId="0" borderId="1" xfId="0" applyNumberFormat="1" applyFont="1" applyBorder="1" applyAlignment="1">
      <alignment vertical="center" wrapText="1"/>
    </xf>
    <xf numFmtId="2" fontId="8" fillId="0" borderId="1" xfId="0" applyNumberFormat="1" applyFont="1" applyBorder="1" applyAlignment="1">
      <alignment vertical="center" wrapText="1"/>
    </xf>
    <xf numFmtId="167" fontId="8" fillId="3" borderId="1" xfId="9" applyNumberFormat="1" applyFont="1" applyFill="1" applyBorder="1" applyAlignment="1">
      <alignment horizontal="center" vertical="center" wrapText="1"/>
    </xf>
    <xf numFmtId="4" fontId="7" fillId="3" borderId="1" xfId="20" applyNumberFormat="1" applyFont="1" applyFill="1" applyBorder="1" applyAlignment="1">
      <alignment horizontal="right" vertical="center" wrapText="1"/>
    </xf>
    <xf numFmtId="4" fontId="22" fillId="3" borderId="1" xfId="20" applyNumberFormat="1" applyFont="1" applyFill="1" applyBorder="1" applyAlignment="1">
      <alignment horizontal="right" vertical="center" wrapText="1"/>
    </xf>
    <xf numFmtId="4" fontId="8" fillId="3" borderId="1" xfId="20" applyNumberFormat="1" applyFont="1" applyFill="1" applyBorder="1" applyAlignment="1">
      <alignment horizontal="right" vertical="center" wrapText="1"/>
    </xf>
    <xf numFmtId="4" fontId="8" fillId="3" borderId="1" xfId="20" applyNumberFormat="1" applyFont="1" applyFill="1" applyBorder="1" applyAlignment="1">
      <alignment horizontal="right" vertical="center" wrapText="1" indent="1"/>
    </xf>
    <xf numFmtId="4" fontId="22" fillId="3" borderId="1" xfId="20" applyNumberFormat="1" applyFont="1" applyFill="1" applyBorder="1" applyAlignment="1">
      <alignment horizontal="right" vertical="top" wrapText="1"/>
    </xf>
    <xf numFmtId="4" fontId="8" fillId="3" borderId="1" xfId="20" applyNumberFormat="1" applyFont="1" applyFill="1" applyBorder="1" applyAlignment="1">
      <alignment horizontal="right" vertical="top" wrapText="1"/>
    </xf>
    <xf numFmtId="165" fontId="8" fillId="3" borderId="0" xfId="6" applyNumberFormat="1" applyFont="1" applyFill="1" applyBorder="1" applyAlignment="1">
      <alignment horizontal="left" vertical="center" wrapText="1"/>
    </xf>
    <xf numFmtId="165"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8" fillId="0" borderId="0" xfId="8" applyFont="1" applyBorder="1" applyAlignment="1">
      <alignment horizontal="left" vertical="top" wrapText="1"/>
    </xf>
    <xf numFmtId="4" fontId="11" fillId="0" borderId="0" xfId="0" applyNumberFormat="1" applyFont="1"/>
    <xf numFmtId="0" fontId="8" fillId="10" borderId="0" xfId="0" applyFont="1" applyFill="1" applyBorder="1" applyAlignment="1">
      <alignment horizontal="left" vertical="center" wrapText="1"/>
    </xf>
    <xf numFmtId="0" fontId="22" fillId="2" borderId="1" xfId="8" applyFont="1" applyFill="1" applyBorder="1" applyAlignment="1">
      <alignment horizontal="center" vertical="center"/>
    </xf>
    <xf numFmtId="166" fontId="18" fillId="3" borderId="1" xfId="0" applyNumberFormat="1" applyFont="1" applyFill="1" applyBorder="1" applyAlignment="1" applyProtection="1">
      <alignment horizontal="center" vertical="center" wrapText="1"/>
      <protection hidden="1"/>
    </xf>
    <xf numFmtId="0" fontId="11" fillId="0" borderId="0" xfId="0" applyFont="1" applyBorder="1" applyAlignment="1">
      <alignment vertical="center" wrapText="1"/>
    </xf>
    <xf numFmtId="0" fontId="11" fillId="0" borderId="0" xfId="0" applyFont="1" applyBorder="1" applyAlignment="1"/>
    <xf numFmtId="0" fontId="8" fillId="3" borderId="0" xfId="8" applyFont="1" applyFill="1" applyBorder="1" applyAlignment="1">
      <alignment vertical="center" wrapText="1"/>
    </xf>
    <xf numFmtId="0" fontId="8" fillId="10" borderId="0" xfId="0" applyFont="1" applyFill="1" applyBorder="1" applyAlignment="1">
      <alignment horizontal="left" vertical="top" wrapText="1"/>
    </xf>
    <xf numFmtId="0" fontId="8" fillId="10" borderId="0" xfId="0" applyFont="1" applyFill="1" applyBorder="1" applyAlignment="1">
      <alignment vertical="center" wrapText="1"/>
    </xf>
    <xf numFmtId="0" fontId="8" fillId="0" borderId="0" xfId="8" applyFont="1" applyFill="1" applyBorder="1" applyAlignment="1">
      <alignment wrapText="1"/>
    </xf>
    <xf numFmtId="0" fontId="8" fillId="0" borderId="0" xfId="8" applyFont="1" applyFill="1" applyBorder="1" applyAlignment="1">
      <alignment vertical="center" wrapText="1"/>
    </xf>
    <xf numFmtId="0" fontId="8" fillId="2" borderId="0" xfId="8" applyFont="1" applyFill="1" applyBorder="1" applyAlignment="1">
      <alignment vertical="center"/>
    </xf>
    <xf numFmtId="0" fontId="8" fillId="2" borderId="0" xfId="8" applyFont="1" applyFill="1" applyBorder="1"/>
    <xf numFmtId="0" fontId="8" fillId="2" borderId="0" xfId="8" applyFont="1" applyFill="1" applyBorder="1" applyAlignment="1">
      <alignment horizontal="center"/>
    </xf>
    <xf numFmtId="0" fontId="8" fillId="2" borderId="0" xfId="8" applyFont="1" applyFill="1" applyBorder="1" applyAlignment="1">
      <alignment horizontal="left" vertical="center" wrapText="1"/>
    </xf>
    <xf numFmtId="0" fontId="28" fillId="2" borderId="0" xfId="8" applyFont="1" applyFill="1" applyBorder="1" applyAlignment="1">
      <alignment horizontal="left" vertical="center" wrapText="1"/>
    </xf>
    <xf numFmtId="164" fontId="8" fillId="0" borderId="1" xfId="126" applyFont="1" applyBorder="1" applyAlignment="1">
      <alignment horizontal="center" vertical="center"/>
    </xf>
    <xf numFmtId="1" fontId="18" fillId="3" borderId="1" xfId="0" applyNumberFormat="1" applyFont="1" applyFill="1" applyBorder="1" applyAlignment="1" applyProtection="1">
      <alignment horizontal="center" vertical="center" wrapText="1"/>
      <protection hidden="1"/>
    </xf>
    <xf numFmtId="1" fontId="8" fillId="0" borderId="1" xfId="8" applyNumberFormat="1" applyFont="1" applyBorder="1" applyAlignment="1">
      <alignment horizontal="center" vertical="center"/>
    </xf>
    <xf numFmtId="2" fontId="8" fillId="0" borderId="1" xfId="9" applyNumberFormat="1" applyFont="1" applyFill="1" applyBorder="1" applyAlignment="1">
      <alignment horizontal="center" vertical="center" wrapText="1"/>
    </xf>
    <xf numFmtId="0" fontId="8" fillId="2" borderId="0" xfId="8" applyFont="1" applyFill="1" applyBorder="1" applyAlignment="1">
      <alignment vertical="top" wrapText="1"/>
    </xf>
    <xf numFmtId="173" fontId="8" fillId="0" borderId="1" xfId="126" applyNumberFormat="1" applyFont="1" applyBorder="1" applyAlignment="1">
      <alignment vertical="center"/>
    </xf>
    <xf numFmtId="173" fontId="8" fillId="3" borderId="1" xfId="126" applyNumberFormat="1" applyFont="1" applyFill="1" applyBorder="1" applyAlignment="1">
      <alignment vertical="center" wrapText="1"/>
    </xf>
    <xf numFmtId="173" fontId="8" fillId="0" borderId="1" xfId="126" applyNumberFormat="1" applyFont="1" applyBorder="1" applyAlignment="1">
      <alignment vertical="center" wrapText="1"/>
    </xf>
    <xf numFmtId="0" fontId="8" fillId="3" borderId="1" xfId="8" applyFont="1" applyFill="1" applyBorder="1" applyAlignment="1">
      <alignment horizontal="left" vertical="center" wrapText="1"/>
    </xf>
    <xf numFmtId="0" fontId="8" fillId="3" borderId="1" xfId="8" applyFont="1" applyFill="1" applyBorder="1" applyAlignment="1">
      <alignment horizontal="center" vertical="center" wrapText="1"/>
    </xf>
    <xf numFmtId="0" fontId="8" fillId="2" borderId="1" xfId="8" applyFont="1" applyFill="1" applyBorder="1" applyAlignment="1">
      <alignment horizontal="center" vertical="center" wrapText="1"/>
    </xf>
    <xf numFmtId="0" fontId="8" fillId="3" borderId="1" xfId="2" applyFont="1" applyFill="1" applyBorder="1" applyAlignment="1">
      <alignment horizontal="center" vertical="center" wrapText="1"/>
    </xf>
    <xf numFmtId="0" fontId="8" fillId="3" borderId="1" xfId="8" applyFont="1" applyFill="1" applyBorder="1" applyAlignment="1">
      <alignment horizontal="center" vertical="center"/>
    </xf>
    <xf numFmtId="0" fontId="8" fillId="3" borderId="1" xfId="9" applyFont="1" applyFill="1" applyBorder="1" applyAlignment="1">
      <alignment vertical="center" wrapText="1"/>
    </xf>
    <xf numFmtId="0" fontId="8" fillId="3" borderId="1" xfId="9" applyFont="1" applyFill="1" applyBorder="1" applyAlignment="1">
      <alignment horizontal="center" vertical="center" wrapText="1"/>
    </xf>
    <xf numFmtId="0" fontId="8" fillId="3" borderId="1" xfId="9" applyFont="1" applyFill="1" applyBorder="1" applyAlignment="1">
      <alignment horizontal="center" vertical="center"/>
    </xf>
    <xf numFmtId="0" fontId="8" fillId="0" borderId="1" xfId="0" applyFont="1" applyBorder="1" applyAlignment="1">
      <alignment horizontal="justify" vertical="top" wrapText="1"/>
    </xf>
    <xf numFmtId="0" fontId="11" fillId="0" borderId="0" xfId="0" applyFont="1" applyBorder="1" applyAlignment="1">
      <alignment horizontal="justify" vertical="center"/>
    </xf>
    <xf numFmtId="0" fontId="34" fillId="3" borderId="0" xfId="0" applyFont="1" applyFill="1" applyBorder="1" applyAlignment="1">
      <alignment vertical="center" wrapText="1"/>
    </xf>
    <xf numFmtId="0" fontId="8" fillId="2" borderId="0" xfId="1" applyFont="1" applyFill="1" applyBorder="1" applyAlignment="1">
      <alignment vertical="center" wrapText="1"/>
    </xf>
    <xf numFmtId="165" fontId="3" fillId="0" borderId="0" xfId="0" applyNumberFormat="1" applyFont="1" applyFill="1" applyBorder="1" applyAlignment="1">
      <alignment horizontal="left" vertical="center" wrapText="1"/>
    </xf>
    <xf numFmtId="1" fontId="3" fillId="0" borderId="0" xfId="0" applyNumberFormat="1" applyFont="1" applyFill="1" applyBorder="1" applyAlignment="1">
      <alignment horizontal="left" vertical="center" wrapText="1"/>
    </xf>
    <xf numFmtId="165" fontId="3" fillId="0" borderId="0" xfId="0" applyNumberFormat="1" applyFont="1" applyFill="1" applyBorder="1" applyAlignment="1">
      <alignment horizontal="left" vertical="top" wrapText="1"/>
    </xf>
    <xf numFmtId="165" fontId="3" fillId="0" borderId="0" xfId="0" applyNumberFormat="1" applyFont="1" applyFill="1" applyBorder="1" applyAlignment="1">
      <alignment vertical="center"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1" fontId="3" fillId="3" borderId="0" xfId="0" applyNumberFormat="1" applyFont="1" applyFill="1" applyBorder="1" applyAlignment="1">
      <alignment horizontal="left" vertical="center" wrapText="1"/>
    </xf>
    <xf numFmtId="0" fontId="3" fillId="0" borderId="0" xfId="0" applyFont="1" applyBorder="1" applyAlignment="1">
      <alignment vertical="center" wrapText="1"/>
    </xf>
    <xf numFmtId="165" fontId="3" fillId="3" borderId="0" xfId="0" applyNumberFormat="1" applyFont="1" applyFill="1" applyBorder="1" applyAlignment="1">
      <alignment horizontal="left" vertical="top" wrapText="1"/>
    </xf>
    <xf numFmtId="1" fontId="3" fillId="3" borderId="0" xfId="0" applyNumberFormat="1" applyFont="1" applyFill="1" applyBorder="1" applyAlignment="1">
      <alignment horizontal="left" vertical="top" wrapText="1"/>
    </xf>
    <xf numFmtId="165" fontId="3" fillId="3" borderId="0" xfId="0" applyNumberFormat="1" applyFont="1" applyFill="1" applyBorder="1" applyAlignment="1">
      <alignment horizontal="left" vertical="center" wrapText="1"/>
    </xf>
    <xf numFmtId="0" fontId="8" fillId="0" borderId="1" xfId="9" applyFont="1" applyBorder="1" applyAlignment="1">
      <alignment horizontal="left" wrapText="1"/>
    </xf>
    <xf numFmtId="0" fontId="8" fillId="0" borderId="1" xfId="9" applyFont="1" applyBorder="1" applyAlignment="1">
      <alignment vertical="center" wrapText="1"/>
    </xf>
    <xf numFmtId="0" fontId="8" fillId="0" borderId="1" xfId="9" applyFont="1" applyBorder="1" applyAlignment="1">
      <alignment horizontal="left" vertical="center" wrapText="1"/>
    </xf>
    <xf numFmtId="0" fontId="8" fillId="0" borderId="1" xfId="9" applyFont="1" applyBorder="1" applyAlignment="1">
      <alignment horizontal="left" vertical="top" wrapText="1"/>
    </xf>
    <xf numFmtId="0" fontId="8" fillId="0" borderId="1" xfId="9" applyFont="1" applyBorder="1" applyAlignment="1">
      <alignment wrapText="1"/>
    </xf>
    <xf numFmtId="0" fontId="8" fillId="0" borderId="1" xfId="9" applyFont="1" applyFill="1" applyBorder="1" applyAlignment="1">
      <alignment wrapText="1"/>
    </xf>
    <xf numFmtId="0" fontId="8" fillId="2" borderId="1" xfId="8" applyFont="1" applyFill="1" applyBorder="1" applyAlignment="1">
      <alignment horizontal="left" vertical="center" wrapText="1"/>
    </xf>
    <xf numFmtId="0" fontId="8" fillId="0" borderId="1" xfId="8" applyFont="1" applyBorder="1" applyAlignment="1">
      <alignment horizontal="left" vertical="center" wrapText="1"/>
    </xf>
    <xf numFmtId="0" fontId="8" fillId="6" borderId="1" xfId="8" applyFont="1" applyFill="1" applyBorder="1" applyAlignment="1">
      <alignment vertical="center" wrapText="1"/>
    </xf>
    <xf numFmtId="0" fontId="8" fillId="6" borderId="1" xfId="7" applyFont="1" applyFill="1" applyBorder="1" applyAlignment="1">
      <alignment vertical="center" wrapText="1"/>
    </xf>
    <xf numFmtId="0" fontId="18" fillId="3" borderId="1" xfId="0" applyFont="1" applyFill="1" applyBorder="1" applyAlignment="1" applyProtection="1">
      <alignment horizontal="justify" vertical="center" wrapText="1"/>
      <protection hidden="1"/>
    </xf>
    <xf numFmtId="0" fontId="18" fillId="3" borderId="1" xfId="0" applyFont="1" applyFill="1" applyBorder="1" applyAlignment="1" applyProtection="1">
      <alignment horizontal="left" vertical="center" wrapText="1"/>
      <protection hidden="1"/>
    </xf>
    <xf numFmtId="0" fontId="8" fillId="3" borderId="1" xfId="2" applyFont="1" applyFill="1" applyBorder="1" applyAlignment="1">
      <alignment horizontal="left" vertical="center" wrapText="1"/>
    </xf>
    <xf numFmtId="0" fontId="8" fillId="3" borderId="1" xfId="9" applyFont="1" applyFill="1" applyBorder="1" applyAlignment="1">
      <alignment horizontal="left" vertical="center" wrapText="1"/>
    </xf>
    <xf numFmtId="0" fontId="8" fillId="3" borderId="1" xfId="2" applyFont="1" applyFill="1" applyBorder="1" applyAlignment="1">
      <alignment horizontal="left" wrapText="1"/>
    </xf>
    <xf numFmtId="0" fontId="8" fillId="3" borderId="1" xfId="2" applyFont="1" applyFill="1" applyBorder="1" applyAlignment="1">
      <alignment vertical="center" wrapText="1"/>
    </xf>
    <xf numFmtId="0" fontId="7" fillId="3" borderId="1" xfId="8" applyFont="1" applyFill="1" applyBorder="1" applyAlignment="1">
      <alignment horizontal="center" vertical="center"/>
    </xf>
    <xf numFmtId="0" fontId="8" fillId="3" borderId="1" xfId="8" applyFont="1" applyFill="1" applyBorder="1" applyAlignment="1">
      <alignment vertical="center" wrapText="1"/>
    </xf>
    <xf numFmtId="0" fontId="8" fillId="3" borderId="1" xfId="6" applyFont="1" applyFill="1" applyBorder="1" applyAlignment="1">
      <alignment vertical="center" wrapText="1"/>
    </xf>
    <xf numFmtId="0" fontId="8" fillId="3" borderId="1" xfId="9" applyFont="1" applyFill="1" applyBorder="1" applyAlignment="1">
      <alignment horizontal="left" vertical="center"/>
    </xf>
    <xf numFmtId="0" fontId="8" fillId="3" borderId="1" xfId="9" applyFont="1" applyFill="1" applyBorder="1" applyAlignment="1">
      <alignment vertical="center"/>
    </xf>
    <xf numFmtId="0" fontId="8" fillId="2" borderId="1" xfId="8" applyFont="1" applyFill="1" applyBorder="1" applyAlignment="1">
      <alignment vertical="center" wrapText="1"/>
    </xf>
    <xf numFmtId="0" fontId="8" fillId="0" borderId="1" xfId="9" applyFont="1" applyBorder="1" applyAlignment="1">
      <alignment horizontal="justify" vertical="center" wrapText="1"/>
    </xf>
    <xf numFmtId="0" fontId="8" fillId="0" borderId="1" xfId="2" applyFont="1" applyBorder="1" applyAlignment="1">
      <alignment horizontal="justify" vertical="center" wrapText="1"/>
    </xf>
    <xf numFmtId="0" fontId="8" fillId="3" borderId="1" xfId="11" applyFont="1" applyFill="1" applyBorder="1" applyAlignment="1">
      <alignment horizontal="justify" vertical="center" wrapText="1"/>
    </xf>
    <xf numFmtId="0" fontId="8" fillId="3" borderId="1" xfId="2" applyFont="1" applyFill="1" applyBorder="1" applyAlignment="1">
      <alignment horizontal="justify" vertical="center" wrapText="1"/>
    </xf>
    <xf numFmtId="0" fontId="8" fillId="0" borderId="1" xfId="2" applyFont="1" applyBorder="1" applyAlignment="1">
      <alignment horizontal="justify" vertical="top" wrapText="1"/>
    </xf>
    <xf numFmtId="0" fontId="8" fillId="0" borderId="1" xfId="11" applyFont="1" applyBorder="1" applyAlignment="1">
      <alignment horizontal="left" vertical="center" wrapText="1"/>
    </xf>
    <xf numFmtId="0" fontId="8" fillId="0" borderId="1" xfId="16" applyFont="1" applyBorder="1" applyAlignment="1">
      <alignment horizontal="left" vertical="center" wrapText="1"/>
    </xf>
    <xf numFmtId="0" fontId="8" fillId="0" borderId="1" xfId="14" applyFont="1" applyBorder="1" applyAlignment="1">
      <alignment horizontal="left" vertical="center" wrapText="1"/>
    </xf>
    <xf numFmtId="0" fontId="8" fillId="3" borderId="1" xfId="6" applyFont="1" applyFill="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2" borderId="1" xfId="9" applyFont="1" applyFill="1" applyBorder="1" applyAlignment="1">
      <alignment vertical="center" wrapText="1"/>
    </xf>
    <xf numFmtId="0" fontId="8" fillId="2" borderId="1" xfId="9" applyFont="1" applyFill="1" applyBorder="1" applyAlignment="1">
      <alignment horizontal="justify" vertical="center" wrapText="1"/>
    </xf>
    <xf numFmtId="0" fontId="8" fillId="3" borderId="1" xfId="6" applyFont="1" applyFill="1" applyBorder="1" applyAlignment="1">
      <alignment horizontal="justify" vertical="center" wrapText="1"/>
    </xf>
    <xf numFmtId="0" fontId="22" fillId="3" borderId="1" xfId="6" applyFont="1" applyFill="1" applyBorder="1" applyAlignment="1">
      <alignment vertical="center" wrapText="1"/>
    </xf>
    <xf numFmtId="0" fontId="22" fillId="3" borderId="1" xfId="6" applyFont="1" applyFill="1" applyBorder="1" applyAlignment="1">
      <alignment horizontal="left" vertical="center" wrapText="1"/>
    </xf>
    <xf numFmtId="0" fontId="46" fillId="0" borderId="1" xfId="0" applyFont="1" applyBorder="1" applyAlignment="1">
      <alignment horizontal="justify"/>
    </xf>
    <xf numFmtId="0" fontId="8" fillId="4" borderId="1" xfId="9" applyFont="1" applyFill="1" applyBorder="1" applyAlignment="1">
      <alignment vertical="center" wrapText="1"/>
    </xf>
    <xf numFmtId="166" fontId="8" fillId="3" borderId="6" xfId="6" applyNumberFormat="1" applyFont="1" applyFill="1" applyBorder="1" applyAlignment="1">
      <alignment horizontal="left" vertical="center"/>
    </xf>
    <xf numFmtId="165" fontId="18" fillId="3" borderId="6" xfId="6" applyNumberFormat="1" applyFont="1" applyFill="1" applyBorder="1" applyAlignment="1">
      <alignment horizontal="left" vertical="center"/>
    </xf>
    <xf numFmtId="0" fontId="20" fillId="3" borderId="6" xfId="0" applyFont="1" applyFill="1" applyBorder="1" applyAlignment="1">
      <alignment horizontal="left" vertical="center" wrapText="1"/>
    </xf>
    <xf numFmtId="1" fontId="8" fillId="3" borderId="6" xfId="6" applyNumberFormat="1" applyFont="1" applyFill="1" applyBorder="1" applyAlignment="1">
      <alignment horizontal="left" vertical="center" wrapText="1"/>
    </xf>
    <xf numFmtId="165" fontId="8" fillId="3" borderId="1" xfId="6" applyNumberFormat="1" applyFont="1" applyFill="1" applyBorder="1" applyAlignment="1">
      <alignment horizontal="left" vertical="center" wrapText="1"/>
    </xf>
    <xf numFmtId="165" fontId="8" fillId="3" borderId="6" xfId="6" applyNumberFormat="1" applyFont="1" applyFill="1" applyBorder="1" applyAlignment="1">
      <alignment horizontal="left" vertical="center" wrapText="1"/>
    </xf>
    <xf numFmtId="0" fontId="11" fillId="0" borderId="0" xfId="9" applyFont="1" applyBorder="1" applyAlignment="1">
      <alignment wrapText="1"/>
    </xf>
    <xf numFmtId="4" fontId="3" fillId="2" borderId="0" xfId="0" applyNumberFormat="1" applyFont="1" applyFill="1"/>
    <xf numFmtId="4" fontId="8" fillId="5" borderId="1" xfId="7" applyNumberFormat="1" applyFont="1" applyFill="1" applyBorder="1" applyAlignment="1">
      <alignment horizontal="center" vertical="center"/>
    </xf>
    <xf numFmtId="4" fontId="3" fillId="0" borderId="1" xfId="0" applyNumberFormat="1" applyFont="1" applyFill="1" applyBorder="1" applyAlignment="1">
      <alignment horizontal="right"/>
    </xf>
    <xf numFmtId="165" fontId="8" fillId="3" borderId="1" xfId="8" applyNumberFormat="1" applyFont="1" applyFill="1" applyBorder="1" applyAlignment="1">
      <alignment horizontal="center" vertical="center"/>
    </xf>
    <xf numFmtId="0" fontId="8" fillId="0" borderId="0" xfId="0" applyFont="1" applyFill="1"/>
    <xf numFmtId="2" fontId="46" fillId="0" borderId="0" xfId="0" applyNumberFormat="1" applyFont="1" applyFill="1"/>
    <xf numFmtId="4" fontId="46" fillId="0" borderId="0" xfId="0" applyNumberFormat="1" applyFont="1" applyFill="1"/>
    <xf numFmtId="165" fontId="8" fillId="0" borderId="0" xfId="0" applyNumberFormat="1" applyFont="1" applyFill="1"/>
    <xf numFmtId="4" fontId="8" fillId="0" borderId="0" xfId="0" applyNumberFormat="1" applyFont="1" applyFill="1"/>
    <xf numFmtId="2" fontId="8" fillId="0" borderId="0" xfId="0" applyNumberFormat="1" applyFont="1" applyFill="1"/>
    <xf numFmtId="166" fontId="8" fillId="2" borderId="1" xfId="8" applyNumberFormat="1" applyFont="1" applyFill="1" applyBorder="1" applyAlignment="1">
      <alignment horizontal="center" vertical="center"/>
    </xf>
    <xf numFmtId="2" fontId="8" fillId="0" borderId="1" xfId="9" applyNumberFormat="1" applyFont="1" applyFill="1" applyBorder="1" applyAlignment="1">
      <alignment horizontal="center" vertical="center"/>
    </xf>
    <xf numFmtId="0" fontId="8" fillId="0" borderId="0" xfId="0" applyFont="1" applyAlignment="1">
      <alignment horizontal="justify"/>
    </xf>
    <xf numFmtId="0" fontId="2" fillId="0" borderId="1" xfId="0" applyFont="1" applyBorder="1" applyAlignment="1">
      <alignment horizontal="center" wrapText="1"/>
    </xf>
    <xf numFmtId="0" fontId="8"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8" fillId="0" borderId="0" xfId="0" applyFont="1" applyAlignment="1">
      <alignment horizontal="center" vertical="center"/>
    </xf>
    <xf numFmtId="0" fontId="8" fillId="0" borderId="3" xfId="0" applyFont="1" applyFill="1" applyBorder="1" applyAlignment="1">
      <alignment vertical="top" wrapText="1"/>
    </xf>
    <xf numFmtId="0" fontId="11" fillId="0" borderId="1" xfId="0" applyFont="1" applyBorder="1" applyAlignment="1">
      <alignment horizontal="center" vertical="center"/>
    </xf>
    <xf numFmtId="165" fontId="8" fillId="18" borderId="1" xfId="0" applyNumberFormat="1" applyFont="1" applyFill="1" applyBorder="1" applyAlignment="1">
      <alignment horizontal="center" vertical="top" wrapText="1"/>
    </xf>
    <xf numFmtId="0" fontId="8" fillId="0" borderId="0" xfId="0" applyFont="1" applyAlignment="1">
      <alignment horizontal="center"/>
    </xf>
    <xf numFmtId="165" fontId="8" fillId="0" borderId="1" xfId="0" applyNumberFormat="1" applyFont="1" applyBorder="1" applyAlignment="1">
      <alignment horizontal="center" vertical="center" wrapText="1"/>
    </xf>
    <xf numFmtId="0" fontId="0" fillId="0" borderId="0" xfId="0" applyFont="1"/>
    <xf numFmtId="0" fontId="51" fillId="0" borderId="1" xfId="0" applyFont="1" applyBorder="1" applyAlignment="1">
      <alignment horizontal="center" wrapText="1"/>
    </xf>
    <xf numFmtId="0" fontId="8" fillId="0" borderId="1" xfId="0" applyFont="1" applyFill="1" applyBorder="1" applyAlignment="1">
      <alignment horizontal="center" vertical="center" wrapText="1"/>
    </xf>
    <xf numFmtId="165" fontId="8" fillId="0" borderId="1" xfId="0" applyNumberFormat="1" applyFont="1" applyFill="1" applyBorder="1" applyAlignment="1">
      <alignment horizontal="center" vertical="top" wrapText="1"/>
    </xf>
    <xf numFmtId="0" fontId="8" fillId="18" borderId="1" xfId="0" applyFont="1" applyFill="1" applyBorder="1" applyAlignment="1">
      <alignment horizontal="center" vertical="center" wrapText="1"/>
    </xf>
    <xf numFmtId="165" fontId="8" fillId="0" borderId="1" xfId="0" applyNumberFormat="1" applyFont="1" applyBorder="1" applyAlignment="1">
      <alignment horizontal="center" vertical="top" wrapText="1"/>
    </xf>
    <xf numFmtId="0" fontId="3" fillId="5" borderId="2" xfId="0" applyFont="1" applyFill="1" applyBorder="1" applyAlignment="1">
      <alignment horizontal="center" vertical="top" wrapText="1"/>
    </xf>
    <xf numFmtId="0" fontId="3" fillId="5" borderId="5" xfId="0" applyFont="1" applyFill="1" applyBorder="1" applyAlignment="1">
      <alignment horizontal="center" vertical="top" wrapText="1"/>
    </xf>
    <xf numFmtId="0" fontId="3" fillId="5"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5" borderId="1" xfId="0" applyFont="1" applyFill="1" applyBorder="1" applyAlignment="1">
      <alignment vertical="top" wrapText="1"/>
    </xf>
    <xf numFmtId="0" fontId="3" fillId="5" borderId="1" xfId="0" applyFont="1" applyFill="1" applyBorder="1" applyAlignment="1">
      <alignment horizontal="center" vertical="top" wrapText="1"/>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wrapText="1"/>
    </xf>
    <xf numFmtId="0" fontId="3" fillId="2" borderId="0" xfId="0" applyFont="1" applyFill="1" applyAlignment="1">
      <alignment wrapText="1"/>
    </xf>
    <xf numFmtId="0" fontId="6" fillId="2" borderId="2" xfId="0" applyFont="1" applyFill="1" applyBorder="1" applyAlignment="1">
      <alignment horizontal="center" vertical="center" wrapText="1"/>
    </xf>
    <xf numFmtId="0" fontId="1" fillId="0" borderId="3" xfId="0" applyFont="1" applyBorder="1" applyAlignment="1"/>
    <xf numFmtId="0" fontId="1" fillId="0" borderId="5" xfId="0" applyFont="1" applyBorder="1" applyAlignment="1"/>
    <xf numFmtId="0" fontId="2" fillId="3" borderId="11" xfId="0" applyFont="1" applyFill="1" applyBorder="1" applyAlignment="1">
      <alignment horizontal="center" wrapText="1"/>
    </xf>
    <xf numFmtId="0" fontId="2" fillId="3" borderId="12"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7" fillId="0" borderId="1" xfId="7" applyFont="1" applyBorder="1" applyAlignment="1">
      <alignment horizontal="center" vertical="center"/>
    </xf>
    <xf numFmtId="0" fontId="7" fillId="0" borderId="1" xfId="7" applyFont="1" applyBorder="1" applyAlignment="1">
      <alignment horizontal="center" vertical="center" wrapText="1"/>
    </xf>
    <xf numFmtId="0" fontId="7" fillId="0" borderId="1" xfId="7" applyFont="1" applyBorder="1" applyAlignment="1">
      <alignment horizontal="center"/>
    </xf>
    <xf numFmtId="0" fontId="22" fillId="0" borderId="9" xfId="7" applyFont="1" applyBorder="1" applyAlignment="1">
      <alignment horizontal="center" wrapText="1"/>
    </xf>
    <xf numFmtId="0" fontId="16" fillId="0" borderId="0" xfId="0" applyFont="1" applyAlignment="1">
      <alignment horizontal="center" wrapText="1"/>
    </xf>
    <xf numFmtId="0" fontId="11" fillId="0" borderId="0" xfId="0" applyFont="1" applyAlignment="1">
      <alignment horizontal="center" wrapText="1"/>
    </xf>
    <xf numFmtId="0" fontId="13" fillId="0" borderId="0" xfId="0" applyFont="1" applyAlignment="1">
      <alignment horizontal="center" wrapText="1"/>
    </xf>
    <xf numFmtId="0" fontId="8" fillId="10" borderId="0" xfId="0" applyFont="1" applyFill="1" applyBorder="1" applyAlignment="1">
      <alignment horizontal="left" vertical="top" wrapText="1"/>
    </xf>
    <xf numFmtId="0" fontId="8" fillId="3" borderId="1" xfId="8" applyFont="1" applyFill="1" applyBorder="1" applyAlignment="1">
      <alignment horizontal="left" vertical="center" wrapText="1"/>
    </xf>
    <xf numFmtId="165" fontId="8" fillId="3" borderId="1" xfId="8" applyNumberFormat="1" applyFont="1" applyFill="1" applyBorder="1" applyAlignment="1">
      <alignment horizontal="center" vertical="center"/>
    </xf>
    <xf numFmtId="0" fontId="8" fillId="3" borderId="1" xfId="8" applyFont="1" applyFill="1" applyBorder="1" applyAlignment="1">
      <alignment horizontal="center" vertical="center"/>
    </xf>
    <xf numFmtId="0" fontId="8" fillId="3" borderId="1" xfId="2" applyFont="1" applyFill="1" applyBorder="1" applyAlignment="1">
      <alignment horizontal="center" vertical="center" wrapText="1"/>
    </xf>
    <xf numFmtId="0" fontId="22" fillId="0" borderId="1" xfId="9" applyFont="1" applyBorder="1" applyAlignment="1">
      <alignment horizontal="left" vertical="top" wrapText="1"/>
    </xf>
    <xf numFmtId="0" fontId="22" fillId="3" borderId="1" xfId="8" applyFont="1" applyFill="1" applyBorder="1" applyAlignment="1">
      <alignment horizontal="center" vertical="center" wrapText="1"/>
    </xf>
    <xf numFmtId="0" fontId="22" fillId="0" borderId="1" xfId="8" applyFont="1" applyBorder="1" applyAlignment="1">
      <alignment horizontal="center" vertical="center" wrapText="1"/>
    </xf>
    <xf numFmtId="0" fontId="7" fillId="0" borderId="1" xfId="8" applyFont="1" applyBorder="1" applyAlignment="1">
      <alignment horizontal="center" vertical="center" wrapText="1"/>
    </xf>
    <xf numFmtId="0" fontId="22" fillId="0" borderId="1" xfId="9" applyFont="1" applyBorder="1" applyAlignment="1">
      <alignment horizontal="center"/>
    </xf>
    <xf numFmtId="0" fontId="7" fillId="11" borderId="1" xfId="8" applyFont="1" applyFill="1" applyBorder="1" applyAlignment="1">
      <alignment horizontal="center" vertical="center" wrapText="1"/>
    </xf>
    <xf numFmtId="0" fontId="7" fillId="2" borderId="1" xfId="8" applyFont="1" applyFill="1" applyBorder="1" applyAlignment="1">
      <alignment horizontal="center" vertical="center" wrapText="1"/>
    </xf>
    <xf numFmtId="0" fontId="7" fillId="2" borderId="1" xfId="8" applyFont="1" applyFill="1" applyBorder="1" applyAlignment="1">
      <alignment vertical="center"/>
    </xf>
    <xf numFmtId="0" fontId="22" fillId="2" borderId="1" xfId="8" applyFont="1" applyFill="1" applyBorder="1" applyAlignment="1">
      <alignment horizontal="center" vertical="center" wrapText="1"/>
    </xf>
    <xf numFmtId="0" fontId="7" fillId="11" borderId="1" xfId="8" applyFont="1" applyFill="1" applyBorder="1" applyAlignment="1">
      <alignment vertical="center" wrapText="1"/>
    </xf>
    <xf numFmtId="0" fontId="7" fillId="0" borderId="1" xfId="8" applyFont="1" applyBorder="1" applyAlignment="1">
      <alignment horizontal="center" vertical="center"/>
    </xf>
    <xf numFmtId="0" fontId="7" fillId="2" borderId="11" xfId="8" applyFont="1" applyFill="1" applyBorder="1" applyAlignment="1">
      <alignment horizontal="center" wrapText="1"/>
    </xf>
    <xf numFmtId="0" fontId="7" fillId="2" borderId="12" xfId="8" applyFont="1" applyFill="1" applyBorder="1" applyAlignment="1">
      <alignment horizontal="center" wrapText="1"/>
    </xf>
    <xf numFmtId="165" fontId="22" fillId="3" borderId="1" xfId="8" applyNumberFormat="1" applyFont="1" applyFill="1" applyBorder="1" applyAlignment="1">
      <alignment horizontal="center" vertical="center" wrapText="1"/>
    </xf>
    <xf numFmtId="0" fontId="7" fillId="11" borderId="1" xfId="9" applyFont="1" applyFill="1" applyBorder="1" applyAlignment="1">
      <alignment horizontal="center" vertical="center" wrapText="1"/>
    </xf>
    <xf numFmtId="0" fontId="8" fillId="11" borderId="1" xfId="9" applyFont="1" applyFill="1" applyBorder="1" applyAlignment="1">
      <alignment horizontal="center" vertical="center" wrapText="1"/>
    </xf>
    <xf numFmtId="0" fontId="7" fillId="3" borderId="1" xfId="8" applyFont="1" applyFill="1" applyBorder="1" applyAlignment="1">
      <alignment horizontal="center" vertical="center" wrapText="1"/>
    </xf>
    <xf numFmtId="0" fontId="8" fillId="3" borderId="1" xfId="9" applyFont="1" applyFill="1" applyBorder="1" applyAlignment="1">
      <alignment horizontal="center" vertical="center"/>
    </xf>
    <xf numFmtId="165" fontId="22" fillId="3" borderId="1" xfId="8" applyNumberFormat="1" applyFont="1" applyFill="1" applyBorder="1" applyAlignment="1">
      <alignment horizontal="center" vertical="center"/>
    </xf>
    <xf numFmtId="0" fontId="45" fillId="3" borderId="1" xfId="2" applyFont="1" applyFill="1" applyBorder="1" applyAlignment="1">
      <alignment horizontal="center" vertical="center" wrapText="1"/>
    </xf>
    <xf numFmtId="0" fontId="7" fillId="3" borderId="1" xfId="9" applyFont="1" applyFill="1" applyBorder="1" applyAlignment="1">
      <alignment vertical="center" wrapText="1"/>
    </xf>
    <xf numFmtId="0" fontId="22" fillId="0" borderId="1" xfId="9" applyFont="1" applyBorder="1" applyAlignment="1">
      <alignment horizontal="center" vertical="top" wrapText="1"/>
    </xf>
    <xf numFmtId="0" fontId="7" fillId="11" borderId="1" xfId="9" applyFont="1" applyFill="1" applyBorder="1" applyAlignment="1">
      <alignment horizontal="center" vertical="top" wrapText="1"/>
    </xf>
    <xf numFmtId="0" fontId="8" fillId="11" borderId="1" xfId="9" applyFont="1" applyFill="1" applyBorder="1" applyAlignment="1">
      <alignment horizontal="center" vertical="top" wrapText="1"/>
    </xf>
    <xf numFmtId="0" fontId="7" fillId="3" borderId="1" xfId="8" applyFont="1" applyFill="1" applyBorder="1" applyAlignment="1">
      <alignment horizontal="center" vertical="top" wrapText="1"/>
    </xf>
    <xf numFmtId="0" fontId="8" fillId="3" borderId="1" xfId="9" applyFont="1" applyFill="1" applyBorder="1" applyAlignment="1">
      <alignment horizontal="center" vertical="top"/>
    </xf>
    <xf numFmtId="0" fontId="8" fillId="3" borderId="1" xfId="9" applyFont="1" applyFill="1" applyBorder="1" applyAlignment="1">
      <alignment horizontal="center" vertical="center" wrapText="1"/>
    </xf>
    <xf numFmtId="0" fontId="8" fillId="11" borderId="1" xfId="9" applyFont="1" applyFill="1" applyBorder="1" applyAlignment="1">
      <alignment horizontal="center" vertical="center"/>
    </xf>
    <xf numFmtId="0" fontId="8" fillId="11" borderId="1" xfId="8" applyFont="1" applyFill="1" applyBorder="1" applyAlignment="1">
      <alignment horizontal="center" vertical="center" wrapText="1"/>
    </xf>
    <xf numFmtId="0" fontId="8" fillId="11" borderId="1" xfId="8" applyFont="1" applyFill="1" applyBorder="1" applyAlignment="1">
      <alignment vertical="center"/>
    </xf>
    <xf numFmtId="0" fontId="22" fillId="3" borderId="1" xfId="9" applyFont="1" applyFill="1" applyBorder="1" applyAlignment="1">
      <alignment horizontal="left" wrapText="1"/>
    </xf>
    <xf numFmtId="0" fontId="22" fillId="0" borderId="1" xfId="9" applyFont="1" applyBorder="1" applyAlignment="1">
      <alignment horizontal="left"/>
    </xf>
    <xf numFmtId="0" fontId="22" fillId="0" borderId="1" xfId="9" applyFont="1" applyBorder="1" applyAlignment="1">
      <alignment horizontal="left" vertical="center" wrapText="1"/>
    </xf>
    <xf numFmtId="0" fontId="8" fillId="11" borderId="1" xfId="8" applyFont="1" applyFill="1" applyBorder="1" applyAlignment="1">
      <alignment vertical="center" wrapText="1"/>
    </xf>
    <xf numFmtId="0" fontId="7" fillId="2" borderId="1" xfId="8" applyFont="1" applyFill="1" applyBorder="1" applyAlignment="1">
      <alignment vertical="center" wrapText="1"/>
    </xf>
    <xf numFmtId="0" fontId="8" fillId="3" borderId="1" xfId="8" applyFont="1" applyFill="1" applyBorder="1" applyAlignment="1">
      <alignment horizontal="center" vertical="center" wrapText="1"/>
    </xf>
    <xf numFmtId="0" fontId="8" fillId="3" borderId="1" xfId="9" applyFont="1" applyFill="1" applyBorder="1" applyAlignment="1">
      <alignment vertical="center" wrapText="1"/>
    </xf>
    <xf numFmtId="0" fontId="22" fillId="3" borderId="1" xfId="9" applyFont="1" applyFill="1" applyBorder="1" applyAlignment="1">
      <alignment horizontal="left" vertical="center"/>
    </xf>
    <xf numFmtId="0" fontId="22" fillId="3" borderId="1" xfId="8" applyFont="1" applyFill="1" applyBorder="1" applyAlignment="1">
      <alignment horizontal="center" vertical="center"/>
    </xf>
    <xf numFmtId="0" fontId="8" fillId="3" borderId="1" xfId="8" applyFont="1" applyFill="1" applyBorder="1" applyAlignment="1">
      <alignment horizontal="left" vertical="top" wrapText="1"/>
    </xf>
    <xf numFmtId="0" fontId="7" fillId="3" borderId="1" xfId="8" applyFont="1" applyFill="1" applyBorder="1" applyAlignment="1">
      <alignment vertical="center"/>
    </xf>
    <xf numFmtId="0" fontId="7" fillId="2" borderId="1" xfId="8" applyFont="1" applyFill="1" applyBorder="1" applyAlignment="1">
      <alignment horizontal="center" vertical="center"/>
    </xf>
    <xf numFmtId="165" fontId="3" fillId="0" borderId="13" xfId="0" applyNumberFormat="1" applyFont="1" applyFill="1" applyBorder="1" applyAlignment="1">
      <alignment horizontal="left" vertical="center" wrapText="1"/>
    </xf>
    <xf numFmtId="0" fontId="8" fillId="3" borderId="0" xfId="8" applyFont="1" applyFill="1" applyBorder="1" applyAlignment="1">
      <alignment horizontal="left" vertical="center" wrapText="1"/>
    </xf>
    <xf numFmtId="0" fontId="7" fillId="2" borderId="1" xfId="8" applyFont="1" applyFill="1" applyBorder="1" applyAlignment="1">
      <alignment horizontal="center" wrapText="1"/>
    </xf>
    <xf numFmtId="0" fontId="22" fillId="2" borderId="1" xfId="8" applyFont="1" applyFill="1" applyBorder="1" applyAlignment="1">
      <alignment horizontal="center" vertical="center"/>
    </xf>
    <xf numFmtId="0" fontId="8" fillId="2" borderId="1" xfId="8" applyFont="1" applyFill="1" applyBorder="1" applyAlignment="1">
      <alignment horizontal="center" vertical="center" wrapText="1"/>
    </xf>
    <xf numFmtId="0" fontId="7" fillId="0" borderId="1" xfId="9" applyFont="1" applyBorder="1" applyAlignment="1">
      <alignment horizontal="center" vertical="center" wrapText="1"/>
    </xf>
    <xf numFmtId="0" fontId="2" fillId="2" borderId="0" xfId="0" applyFont="1" applyFill="1" applyAlignment="1">
      <alignment horizontal="center" vertical="center" wrapText="1"/>
    </xf>
    <xf numFmtId="0" fontId="8" fillId="0" borderId="1" xfId="0" applyFont="1" applyBorder="1" applyAlignment="1">
      <alignment horizontal="justify" vertical="top" wrapText="1"/>
    </xf>
    <xf numFmtId="0" fontId="7" fillId="0" borderId="0" xfId="0" applyFont="1" applyAlignment="1">
      <alignment horizontal="center"/>
    </xf>
    <xf numFmtId="0" fontId="8" fillId="0" borderId="0" xfId="0" applyFont="1" applyAlignment="1">
      <alignment horizontal="center" wrapText="1"/>
    </xf>
    <xf numFmtId="0" fontId="7" fillId="0" borderId="1" xfId="0" applyFont="1" applyBorder="1" applyAlignment="1">
      <alignment horizontal="center" wrapText="1"/>
    </xf>
    <xf numFmtId="0" fontId="7" fillId="0" borderId="2" xfId="0" applyFont="1" applyBorder="1" applyAlignment="1">
      <alignment horizontal="center" wrapText="1"/>
    </xf>
    <xf numFmtId="0" fontId="0" fillId="0" borderId="3" xfId="0" applyBorder="1" applyAlignment="1">
      <alignment wrapText="1"/>
    </xf>
    <xf numFmtId="0" fontId="0" fillId="0" borderId="5" xfId="0" applyBorder="1" applyAlignment="1">
      <alignment wrapText="1"/>
    </xf>
    <xf numFmtId="0" fontId="0" fillId="0" borderId="3" xfId="0" applyBorder="1" applyAlignment="1">
      <alignment horizontal="center" wrapText="1"/>
    </xf>
    <xf numFmtId="0" fontId="0" fillId="0" borderId="5" xfId="0" applyBorder="1" applyAlignment="1">
      <alignment horizontal="center" wrapText="1"/>
    </xf>
    <xf numFmtId="0" fontId="8" fillId="0" borderId="0" xfId="0" applyFont="1" applyAlignment="1">
      <alignment horizont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16" fillId="0" borderId="1" xfId="0" applyFont="1" applyBorder="1" applyAlignment="1">
      <alignment horizontal="center" vertical="center" wrapText="1"/>
    </xf>
  </cellXfs>
  <cellStyles count="127">
    <cellStyle name="st51" xfId="19"/>
    <cellStyle name="st51 2" xfId="22"/>
    <cellStyle name="xl22" xfId="36"/>
    <cellStyle name="xl24" xfId="32"/>
    <cellStyle name="xl25" xfId="37"/>
    <cellStyle name="xl26" xfId="60"/>
    <cellStyle name="xl26 2" xfId="103"/>
    <cellStyle name="xl27" xfId="38"/>
    <cellStyle name="xl28" xfId="39"/>
    <cellStyle name="xl29" xfId="40"/>
    <cellStyle name="xl30" xfId="41"/>
    <cellStyle name="xl31" xfId="42"/>
    <cellStyle name="xl32" xfId="43"/>
    <cellStyle name="xl34" xfId="44"/>
    <cellStyle name="xl35" xfId="45"/>
    <cellStyle name="xl36" xfId="46"/>
    <cellStyle name="xl37" xfId="47"/>
    <cellStyle name="xl38" xfId="62"/>
    <cellStyle name="xl39" xfId="48"/>
    <cellStyle name="xl41" xfId="63"/>
    <cellStyle name="xl42" xfId="31"/>
    <cellStyle name="xl43" xfId="49"/>
    <cellStyle name="xl44" xfId="50"/>
    <cellStyle name="xl45" xfId="51"/>
    <cellStyle name="xl46" xfId="52"/>
    <cellStyle name="xl47" xfId="53"/>
    <cellStyle name="xl48" xfId="54"/>
    <cellStyle name="xl49" xfId="55"/>
    <cellStyle name="xl50" xfId="56"/>
    <cellStyle name="xl51" xfId="57"/>
    <cellStyle name="xl52" xfId="58"/>
    <cellStyle name="xl53" xfId="59"/>
    <cellStyle name="xl54" xfId="65"/>
    <cellStyle name="xl56" xfId="64"/>
    <cellStyle name="xl57" xfId="33"/>
    <cellStyle name="xl58" xfId="34"/>
    <cellStyle name="xl59" xfId="35"/>
    <cellStyle name="xl60" xfId="104"/>
    <cellStyle name="xl61" xfId="23"/>
    <cellStyle name="xl61 2" xfId="118"/>
    <cellStyle name="xl61 3" xfId="105"/>
    <cellStyle name="xl64" xfId="18"/>
    <cellStyle name="xl64 2" xfId="26"/>
    <cellStyle name="xl65" xfId="61"/>
    <cellStyle name="xl65 2" xfId="98"/>
    <cellStyle name="Вывод 2" xfId="106"/>
    <cellStyle name="Денежный 2" xfId="69"/>
    <cellStyle name="Денежный 3" xfId="70"/>
    <cellStyle name="Нейтральный 2" xfId="107"/>
    <cellStyle name="Обычный" xfId="0" builtinId="0"/>
    <cellStyle name="Обычный 10" xfId="10"/>
    <cellStyle name="Обычный 10 2" xfId="120"/>
    <cellStyle name="Обычный 11" xfId="68"/>
    <cellStyle name="Обычный 12" xfId="6"/>
    <cellStyle name="Обычный 13" xfId="16"/>
    <cellStyle name="Обычный 14" xfId="15"/>
    <cellStyle name="Обычный 14 2" xfId="71"/>
    <cellStyle name="Обычный 15" xfId="3"/>
    <cellStyle name="Обычный 16" xfId="4"/>
    <cellStyle name="Обычный 17" xfId="30"/>
    <cellStyle name="Обычный 17 2" xfId="72"/>
    <cellStyle name="Обычный 19" xfId="73"/>
    <cellStyle name="Обычный 2" xfId="1"/>
    <cellStyle name="Обычный 2 2" xfId="8"/>
    <cellStyle name="Обычный 2 2 2" xfId="109"/>
    <cellStyle name="Обычный 2 2 3" xfId="110"/>
    <cellStyle name="Обычный 2 2 4" xfId="108"/>
    <cellStyle name="Обычный 2 3" xfId="7"/>
    <cellStyle name="Обычный 2 4" xfId="28"/>
    <cellStyle name="Обычный 2 4 2" xfId="123"/>
    <cellStyle name="Обычный 2 5" xfId="20"/>
    <cellStyle name="Обычный 2 6" xfId="97"/>
    <cellStyle name="Обычный 2 6 2" xfId="111"/>
    <cellStyle name="Обычный 2 7" xfId="102"/>
    <cellStyle name="Обычный 20" xfId="74"/>
    <cellStyle name="Обычный 25" xfId="75"/>
    <cellStyle name="Обычный 26" xfId="76"/>
    <cellStyle name="Обычный 27" xfId="77"/>
    <cellStyle name="Обычный 3" xfId="9"/>
    <cellStyle name="Обычный 3 2" xfId="21"/>
    <cellStyle name="Обычный 3 3" xfId="99"/>
    <cellStyle name="Обычный 3 4" xfId="112"/>
    <cellStyle name="Обычный 31" xfId="78"/>
    <cellStyle name="Обычный 32" xfId="79"/>
    <cellStyle name="Обычный 34" xfId="80"/>
    <cellStyle name="Обычный 35" xfId="81"/>
    <cellStyle name="Обычный 36" xfId="82"/>
    <cellStyle name="Обычный 38" xfId="83"/>
    <cellStyle name="Обычный 4" xfId="2"/>
    <cellStyle name="Обычный 4 2" xfId="113"/>
    <cellStyle name="Обычный 41" xfId="84"/>
    <cellStyle name="Обычный 48" xfId="85"/>
    <cellStyle name="Обычный 5" xfId="13"/>
    <cellStyle name="Обычный 5 2" xfId="66"/>
    <cellStyle name="Обычный 54" xfId="86"/>
    <cellStyle name="Обычный 55" xfId="87"/>
    <cellStyle name="Обычный 56" xfId="88"/>
    <cellStyle name="Обычный 57" xfId="89"/>
    <cellStyle name="Обычный 58" xfId="90"/>
    <cellStyle name="Обычный 59" xfId="91"/>
    <cellStyle name="Обычный 6" xfId="12"/>
    <cellStyle name="Обычный 62" xfId="92"/>
    <cellStyle name="Обычный 7" xfId="11"/>
    <cellStyle name="Обычный 7 2" xfId="114"/>
    <cellStyle name="Обычный 8" xfId="67"/>
    <cellStyle name="Обычный 8 2" xfId="93"/>
    <cellStyle name="Обычный 9" xfId="14"/>
    <cellStyle name="Процентный 3" xfId="5"/>
    <cellStyle name="Стиль 1" xfId="94"/>
    <cellStyle name="Финансовый" xfId="126" builtinId="3"/>
    <cellStyle name="Финансовый [0] 4" xfId="95"/>
    <cellStyle name="Финансовый 14" xfId="29"/>
    <cellStyle name="Финансовый 2" xfId="17"/>
    <cellStyle name="Финансовый 2 2" xfId="25"/>
    <cellStyle name="Финансовый 2 2 2" xfId="116"/>
    <cellStyle name="Финансовый 2 2 3" xfId="122"/>
    <cellStyle name="Финансовый 2 3" xfId="24"/>
    <cellStyle name="Финансовый 2 4" xfId="27"/>
    <cellStyle name="Финансовый 3" xfId="96"/>
    <cellStyle name="Финансовый 3 2" xfId="117"/>
    <cellStyle name="Финансовый 3 3" xfId="119"/>
    <cellStyle name="Финансовый 3 4" xfId="124"/>
    <cellStyle name="Финансовый 4" xfId="100"/>
    <cellStyle name="Финансовый 4 2" xfId="121"/>
    <cellStyle name="Финансовый 4 3" xfId="125"/>
    <cellStyle name="Финансовый 5" xfId="101"/>
    <cellStyle name="Хороший 2" xfId="115"/>
  </cellStyles>
  <dxfs count="14">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3;&#1086;&#1076;&#1086;&#1074;&#1081;%20&#1086;&#1090;&#1095;&#1077;&#1090;%20&#1052;&#1055;%20&#1079;&#1072;%202021%20&#1075;&#1086;&#1076;%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ритерии оценки"/>
      <sheetName val="свод"/>
      <sheetName val="мб"/>
      <sheetName val="инд"/>
      <sheetName val="оценка"/>
      <sheetName val="ОКЖ"/>
      <sheetName val="дорож"/>
      <sheetName val="энергосбер"/>
      <sheetName val="сх"/>
      <sheetName val="уизо"/>
      <sheetName val="предпр"/>
      <sheetName val="инф"/>
      <sheetName val="кадр"/>
      <sheetName val="охр тр"/>
      <sheetName val="старшее"/>
      <sheetName val="ПКР"/>
      <sheetName val="безбарь"/>
      <sheetName val="семейн"/>
      <sheetName val="правонаруш"/>
      <sheetName val="молодежь"/>
      <sheetName val="спорт"/>
      <sheetName val="образ"/>
      <sheetName val="УК"/>
      <sheetName val="окр ср"/>
      <sheetName val="финансы"/>
      <sheetName val="газ"/>
      <sheetName val="крст"/>
    </sheetNames>
    <sheetDataSet>
      <sheetData sheetId="0"/>
      <sheetData sheetId="1">
        <row r="5">
          <cell r="B5" t="str">
            <v xml:space="preserve">Муниципальная программа «Обеспечение качественным жильем и повышение качества жилищно-коммунальных услуг в МР «Горный улус» на 2020-2024годы» </v>
          </cell>
        </row>
      </sheetData>
      <sheetData sheetId="2"/>
      <sheetData sheetId="3"/>
      <sheetData sheetId="4">
        <row r="4">
          <cell r="C4" t="str">
            <v>Муниципальная программа «Развитие  дорожного хозяйства в МР «Горный улус» на 2020-2024 годы»</v>
          </cell>
          <cell r="D4" t="str">
            <v xml:space="preserve">Муниципальная программа «Энергосбережение на территории МР "Горный улус" на 2020-2024 годы» </v>
          </cell>
          <cell r="E4" t="str">
            <v xml:space="preserve">Муниципальная программа «Развитие сельскохозяйственного производства Горного улуса РС(Я) на 2021-2025 годы» </v>
          </cell>
          <cell r="F4" t="str">
            <v>Муниципальная программа «Управление муниципальной собственностью МР "Горный улус"  на 2020-2024 годы»</v>
          </cell>
          <cell r="G4" t="str">
            <v>Муниципальная программа «Развитие предпринимательства и туризма в Горном улусе на 2020-2024 годы»</v>
          </cell>
          <cell r="H4" t="str">
            <v>Ведомственная целевая программа «Развитие информационного общества в МР "Горный улус" на 2020-2024 годы»</v>
          </cell>
          <cell r="I4" t="str">
            <v>Ведомственная целевая программа «Развитие кадрового потенциала муниципальных служащих и работников органов местного самоуправления МР "Горный улус" на 2020-2024годы»</v>
          </cell>
          <cell r="J4" t="str">
            <v>Ведомственная целевая программа "Охрана труда в МР «Горный улус» на 2020-2024годы"</v>
          </cell>
          <cell r="K4" t="str">
            <v>Муниципальная программа  «Старшее поколение Горного улуса на 2020-2024 годы»</v>
          </cell>
          <cell r="L4" t="str">
            <v>Муниципальная программа «Содействие развитию институтов гражданского общества, поддержка социально ориентированных некоммерческих организаций и территориальных общественных самоуправлений в Горном улусе на 2021-2025 годы»</v>
          </cell>
          <cell r="M4" t="str">
            <v>Муниципальная программа «Обеспечение безбарьерной среды жизнедеятельности инвалидов в Горном улусе на 2020 - 2024 годы»</v>
          </cell>
          <cell r="N4" t="str">
            <v>Муниципальная программа  «Семейная политика в Горном улусе на 2020-2024 годы»</v>
          </cell>
          <cell r="O4" t="str">
            <v>Муниципальная программа «Профилактика правонарушений в Горном улусе на 2020-2024 годы»</v>
          </cell>
          <cell r="P4" t="str">
            <v>Муниципальная программа «Молодежная политика Горного улуса на 2020 - 2024 годы»</v>
          </cell>
          <cell r="Q4" t="str">
            <v xml:space="preserve">Муниципальная программа «Развитие физической культуры и спорта в МР «Горный улус» на 2018-2024 годы» </v>
          </cell>
          <cell r="R4" t="str">
            <v>Муниципальная программа «Создание условий для духовно-культурного развития граждан  Горного улуса  на 2020 - 2024 годы»</v>
          </cell>
          <cell r="S4" t="str">
            <v>Муниципальная программа «Развитие образования муниципального района  «Горный улус» на 2020-2024 годы»</v>
          </cell>
          <cell r="T4" t="str">
            <v>Муниципальная программа «Охрана окружающей среды в Горном улусе  на 2017-2024 годы»</v>
          </cell>
          <cell r="U4" t="str">
            <v>Ведомственная целевая программа «Повышение эффективности управления муниципальными финансами муниципального района «Горный улус» на 2020-2024 годы»</v>
          </cell>
          <cell r="V4" t="str">
            <v>Муниципальная программа «Газификация населенных пунктов муниципального района «Горный улус» на 2019-2023 годы»</v>
          </cell>
          <cell r="W4" t="str">
            <v>Муниципальная программа «Комплексное развитие сельских территорий в Горном улусе на 2020-2025 годы»</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80" zoomScaleNormal="100" zoomScaleSheetLayoutView="80" workbookViewId="0">
      <selection activeCell="B11" sqref="B11:B13"/>
    </sheetView>
  </sheetViews>
  <sheetFormatPr defaultRowHeight="12.75" x14ac:dyDescent="0.2"/>
  <cols>
    <col min="1" max="1" width="9.140625" style="1"/>
    <col min="2" max="2" width="36" style="1" customWidth="1"/>
    <col min="3" max="3" width="9.140625" style="1"/>
    <col min="4" max="4" width="9.140625" style="580"/>
    <col min="5" max="5" width="31.28515625" style="1" customWidth="1"/>
    <col min="6" max="6" width="10" style="1" customWidth="1"/>
    <col min="7" max="7" width="0" style="1" hidden="1" customWidth="1"/>
    <col min="8" max="16384" width="9.140625" style="1"/>
  </cols>
  <sheetData>
    <row r="1" spans="1:7" x14ac:dyDescent="0.2">
      <c r="A1" s="771" t="s">
        <v>0</v>
      </c>
      <c r="B1" s="772"/>
      <c r="C1" s="772"/>
      <c r="D1" s="772"/>
      <c r="E1" s="772"/>
      <c r="F1" s="772"/>
      <c r="G1" s="772"/>
    </row>
    <row r="2" spans="1:7" x14ac:dyDescent="0.2">
      <c r="A2" s="771" t="s">
        <v>29</v>
      </c>
      <c r="B2" s="772"/>
      <c r="C2" s="772"/>
      <c r="D2" s="772"/>
      <c r="E2" s="772"/>
      <c r="F2" s="772"/>
      <c r="G2" s="772"/>
    </row>
    <row r="3" spans="1:7" x14ac:dyDescent="0.2">
      <c r="A3" s="2"/>
    </row>
    <row r="4" spans="1:7" ht="12.75" customHeight="1" x14ac:dyDescent="0.2">
      <c r="A4" s="779" t="s">
        <v>1</v>
      </c>
      <c r="B4" s="776" t="s">
        <v>2</v>
      </c>
      <c r="C4" s="777"/>
      <c r="D4" s="778"/>
      <c r="E4" s="768" t="s">
        <v>3</v>
      </c>
      <c r="F4" s="768" t="s">
        <v>4</v>
      </c>
      <c r="G4" s="773" t="s">
        <v>30</v>
      </c>
    </row>
    <row r="5" spans="1:7" ht="51" x14ac:dyDescent="0.2">
      <c r="A5" s="779"/>
      <c r="B5" s="581" t="s">
        <v>5</v>
      </c>
      <c r="C5" s="581" t="s">
        <v>6</v>
      </c>
      <c r="D5" s="581" t="s">
        <v>6</v>
      </c>
      <c r="E5" s="769"/>
      <c r="F5" s="769"/>
      <c r="G5" s="774"/>
    </row>
    <row r="6" spans="1:7" ht="14.25" x14ac:dyDescent="0.25">
      <c r="A6" s="779"/>
      <c r="B6" s="581" t="s">
        <v>1002</v>
      </c>
      <c r="C6" s="581" t="s">
        <v>7</v>
      </c>
      <c r="D6" s="581" t="s">
        <v>7</v>
      </c>
      <c r="E6" s="770"/>
      <c r="F6" s="770"/>
      <c r="G6" s="775"/>
    </row>
    <row r="7" spans="1:7" s="46" customFormat="1" ht="69" customHeight="1" x14ac:dyDescent="0.2">
      <c r="A7" s="764" t="s">
        <v>8</v>
      </c>
      <c r="B7" s="764" t="s">
        <v>906</v>
      </c>
      <c r="C7" s="765">
        <v>0.55000000000000004</v>
      </c>
      <c r="D7" s="758">
        <v>0.55000000000000004</v>
      </c>
      <c r="E7" s="584" t="s">
        <v>9</v>
      </c>
      <c r="F7" s="585">
        <v>100</v>
      </c>
      <c r="G7" s="45"/>
    </row>
    <row r="8" spans="1:7" s="46" customFormat="1" ht="43.5" customHeight="1" x14ac:dyDescent="0.2">
      <c r="A8" s="764"/>
      <c r="B8" s="764"/>
      <c r="C8" s="765"/>
      <c r="D8" s="760"/>
      <c r="E8" s="584" t="s">
        <v>10</v>
      </c>
      <c r="F8" s="585">
        <v>80</v>
      </c>
      <c r="G8" s="45"/>
    </row>
    <row r="9" spans="1:7" s="46" customFormat="1" ht="46.5" customHeight="1" x14ac:dyDescent="0.2">
      <c r="A9" s="764"/>
      <c r="B9" s="764"/>
      <c r="C9" s="765"/>
      <c r="D9" s="760"/>
      <c r="E9" s="584" t="s">
        <v>11</v>
      </c>
      <c r="F9" s="585">
        <v>50</v>
      </c>
      <c r="G9" s="45"/>
    </row>
    <row r="10" spans="1:7" s="46" customFormat="1" ht="40.5" customHeight="1" x14ac:dyDescent="0.2">
      <c r="A10" s="764"/>
      <c r="B10" s="764"/>
      <c r="C10" s="765"/>
      <c r="D10" s="759"/>
      <c r="E10" s="584" t="s">
        <v>12</v>
      </c>
      <c r="F10" s="585">
        <v>20</v>
      </c>
      <c r="G10" s="48"/>
    </row>
    <row r="11" spans="1:7" ht="39.75" customHeight="1" x14ac:dyDescent="0.2">
      <c r="A11" s="766" t="s">
        <v>13</v>
      </c>
      <c r="B11" s="766" t="s">
        <v>24</v>
      </c>
      <c r="C11" s="767">
        <v>0.01</v>
      </c>
      <c r="D11" s="761"/>
      <c r="E11" s="582" t="s">
        <v>14</v>
      </c>
      <c r="F11" s="583">
        <v>100</v>
      </c>
      <c r="G11" s="5"/>
    </row>
    <row r="12" spans="1:7" ht="33.75" customHeight="1" x14ac:dyDescent="0.2">
      <c r="A12" s="766"/>
      <c r="B12" s="766"/>
      <c r="C12" s="767"/>
      <c r="D12" s="762"/>
      <c r="E12" s="582" t="s">
        <v>15</v>
      </c>
      <c r="F12" s="583">
        <v>50</v>
      </c>
      <c r="G12" s="5"/>
    </row>
    <row r="13" spans="1:7" ht="33.75" customHeight="1" x14ac:dyDescent="0.2">
      <c r="A13" s="766"/>
      <c r="B13" s="766"/>
      <c r="C13" s="767"/>
      <c r="D13" s="763"/>
      <c r="E13" s="582" t="s">
        <v>16</v>
      </c>
      <c r="F13" s="583">
        <v>20</v>
      </c>
      <c r="G13" s="5"/>
    </row>
    <row r="14" spans="1:7" s="46" customFormat="1" ht="32.25" customHeight="1" x14ac:dyDescent="0.2">
      <c r="A14" s="764" t="s">
        <v>17</v>
      </c>
      <c r="B14" s="764" t="s">
        <v>25</v>
      </c>
      <c r="C14" s="765">
        <v>0.15</v>
      </c>
      <c r="D14" s="758">
        <v>0.1</v>
      </c>
      <c r="E14" s="584" t="s">
        <v>14</v>
      </c>
      <c r="F14" s="585">
        <v>100</v>
      </c>
      <c r="G14" s="45"/>
    </row>
    <row r="15" spans="1:7" s="46" customFormat="1" ht="29.25" customHeight="1" x14ac:dyDescent="0.2">
      <c r="A15" s="764"/>
      <c r="B15" s="764"/>
      <c r="C15" s="765"/>
      <c r="D15" s="760"/>
      <c r="E15" s="584" t="s">
        <v>15</v>
      </c>
      <c r="F15" s="585">
        <v>50</v>
      </c>
      <c r="G15" s="45"/>
    </row>
    <row r="16" spans="1:7" s="46" customFormat="1" ht="29.25" customHeight="1" x14ac:dyDescent="0.2">
      <c r="A16" s="764"/>
      <c r="B16" s="764"/>
      <c r="C16" s="765"/>
      <c r="D16" s="759"/>
      <c r="E16" s="584" t="s">
        <v>16</v>
      </c>
      <c r="F16" s="585">
        <v>20</v>
      </c>
      <c r="G16" s="45"/>
    </row>
    <row r="17" spans="1:7" ht="17.25" customHeight="1" x14ac:dyDescent="0.2">
      <c r="A17" s="766" t="s">
        <v>18</v>
      </c>
      <c r="B17" s="766" t="s">
        <v>19</v>
      </c>
      <c r="C17" s="767">
        <v>0.15</v>
      </c>
      <c r="D17" s="761"/>
      <c r="E17" s="582" t="s">
        <v>20</v>
      </c>
      <c r="F17" s="583">
        <v>100</v>
      </c>
      <c r="G17" s="5"/>
    </row>
    <row r="18" spans="1:7" ht="16.5" customHeight="1" x14ac:dyDescent="0.2">
      <c r="A18" s="766"/>
      <c r="B18" s="766"/>
      <c r="C18" s="767"/>
      <c r="D18" s="762"/>
      <c r="E18" s="582" t="s">
        <v>21</v>
      </c>
      <c r="F18" s="583">
        <v>50</v>
      </c>
      <c r="G18" s="5"/>
    </row>
    <row r="19" spans="1:7" ht="22.5" customHeight="1" x14ac:dyDescent="0.2">
      <c r="A19" s="766"/>
      <c r="B19" s="766"/>
      <c r="C19" s="767"/>
      <c r="D19" s="763"/>
      <c r="E19" s="582" t="s">
        <v>22</v>
      </c>
      <c r="F19" s="583">
        <v>20</v>
      </c>
      <c r="G19" s="5"/>
    </row>
    <row r="20" spans="1:7" s="46" customFormat="1" ht="19.5" customHeight="1" x14ac:dyDescent="0.2">
      <c r="A20" s="764" t="s">
        <v>23</v>
      </c>
      <c r="B20" s="764" t="s">
        <v>26</v>
      </c>
      <c r="C20" s="765">
        <v>0.14000000000000001</v>
      </c>
      <c r="D20" s="758">
        <v>0.35</v>
      </c>
      <c r="E20" s="584" t="s">
        <v>27</v>
      </c>
      <c r="F20" s="585">
        <v>100</v>
      </c>
      <c r="G20" s="45"/>
    </row>
    <row r="21" spans="1:7" s="46" customFormat="1" ht="29.25" customHeight="1" x14ac:dyDescent="0.2">
      <c r="A21" s="764"/>
      <c r="B21" s="764"/>
      <c r="C21" s="765"/>
      <c r="D21" s="759"/>
      <c r="E21" s="584" t="s">
        <v>28</v>
      </c>
      <c r="F21" s="585">
        <v>50</v>
      </c>
      <c r="G21" s="49"/>
    </row>
  </sheetData>
  <mergeCells count="27">
    <mergeCell ref="E4:E6"/>
    <mergeCell ref="F4:F6"/>
    <mergeCell ref="A11:A13"/>
    <mergeCell ref="B11:B13"/>
    <mergeCell ref="A1:G1"/>
    <mergeCell ref="A2:G2"/>
    <mergeCell ref="G4:G6"/>
    <mergeCell ref="B4:D4"/>
    <mergeCell ref="C11:C13"/>
    <mergeCell ref="A7:A10"/>
    <mergeCell ref="B7:B10"/>
    <mergeCell ref="C7:C10"/>
    <mergeCell ref="A4:A6"/>
    <mergeCell ref="A20:A21"/>
    <mergeCell ref="B20:B21"/>
    <mergeCell ref="C20:C21"/>
    <mergeCell ref="A14:A16"/>
    <mergeCell ref="B14:B16"/>
    <mergeCell ref="C14:C16"/>
    <mergeCell ref="A17:A19"/>
    <mergeCell ref="B17:B19"/>
    <mergeCell ref="C17:C19"/>
    <mergeCell ref="D20:D21"/>
    <mergeCell ref="D14:D16"/>
    <mergeCell ref="D17:D19"/>
    <mergeCell ref="D11:D13"/>
    <mergeCell ref="D7:D10"/>
  </mergeCells>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A386"/>
  <sheetViews>
    <sheetView tabSelected="1" zoomScale="55" zoomScaleNormal="55" workbookViewId="0">
      <pane xSplit="2" ySplit="4" topLeftCell="C182" activePane="bottomRight" state="frozen"/>
      <selection activeCell="D36" sqref="D36"/>
      <selection pane="topRight" activeCell="D36" sqref="D36"/>
      <selection pane="bottomLeft" activeCell="D36" sqref="D36"/>
      <selection pane="bottomRight" activeCell="B192" sqref="B192"/>
    </sheetView>
  </sheetViews>
  <sheetFormatPr defaultRowHeight="15.75" outlineLevelCol="1" x14ac:dyDescent="0.25"/>
  <cols>
    <col min="1" max="1" width="11.5703125" style="51" bestFit="1" customWidth="1"/>
    <col min="2" max="2" width="48.5703125" style="51" customWidth="1"/>
    <col min="3" max="3" width="19.42578125" style="51" customWidth="1" outlineLevel="1"/>
    <col min="4" max="4" width="17.28515625" style="51" customWidth="1" outlineLevel="1"/>
    <col min="5" max="5" width="18.7109375" style="51" customWidth="1" outlineLevel="1"/>
    <col min="6" max="6" width="16.42578125" style="51" customWidth="1" outlineLevel="1"/>
    <col min="7" max="7" width="13.85546875" style="51" customWidth="1" outlineLevel="1"/>
    <col min="8" max="8" width="18.42578125" style="51" customWidth="1" outlineLevel="1"/>
    <col min="9" max="9" width="20.42578125" style="51" customWidth="1"/>
    <col min="10" max="10" width="18" style="51" customWidth="1"/>
    <col min="11" max="11" width="20.28515625" style="51" customWidth="1"/>
    <col min="12" max="12" width="18.7109375" style="51" customWidth="1"/>
    <col min="13" max="13" width="14.140625" style="51" customWidth="1"/>
    <col min="14" max="14" width="16.7109375" style="51" customWidth="1"/>
    <col min="15" max="15" width="19.140625" style="51" customWidth="1"/>
    <col min="16" max="16" width="16.7109375" style="51" customWidth="1"/>
    <col min="17" max="17" width="18.28515625" style="51" customWidth="1"/>
    <col min="18" max="18" width="19" style="51" customWidth="1"/>
    <col min="19" max="19" width="14.42578125" style="51" bestFit="1" customWidth="1"/>
    <col min="20" max="20" width="17" style="51" customWidth="1"/>
    <col min="21" max="21" width="17.5703125" style="51" hidden="1" customWidth="1"/>
    <col min="22" max="22" width="13.42578125" style="508" customWidth="1"/>
    <col min="23" max="23" width="9.140625" style="508" customWidth="1"/>
    <col min="24" max="24" width="12.140625" style="508" customWidth="1"/>
    <col min="25" max="25" width="17" style="508" customWidth="1"/>
    <col min="26" max="26" width="12.85546875" style="508" customWidth="1"/>
    <col min="27" max="209" width="9.140625" style="508"/>
    <col min="210" max="16384" width="9.140625" style="51"/>
  </cols>
  <sheetData>
    <row r="1" spans="1:209" s="8" customFormat="1" x14ac:dyDescent="0.25">
      <c r="A1" s="50"/>
      <c r="B1" s="780" t="s">
        <v>957</v>
      </c>
      <c r="C1" s="781"/>
      <c r="D1" s="781"/>
      <c r="E1" s="781"/>
      <c r="F1" s="781"/>
      <c r="G1" s="781"/>
      <c r="H1" s="781"/>
      <c r="I1" s="781"/>
      <c r="J1" s="781"/>
      <c r="K1" s="781"/>
      <c r="L1" s="781"/>
      <c r="M1" s="781"/>
      <c r="N1" s="781"/>
      <c r="O1" s="781"/>
      <c r="P1" s="781"/>
      <c r="Q1" s="781"/>
      <c r="R1" s="781"/>
      <c r="S1" s="781"/>
      <c r="T1" s="781"/>
      <c r="V1" s="734"/>
      <c r="W1" s="734"/>
      <c r="X1" s="734"/>
      <c r="Y1" s="734"/>
      <c r="Z1" s="734"/>
      <c r="AA1" s="734"/>
      <c r="AB1" s="734"/>
      <c r="AC1" s="734"/>
      <c r="AD1" s="734"/>
      <c r="AE1" s="734"/>
      <c r="AF1" s="734"/>
      <c r="AG1" s="734"/>
      <c r="AH1" s="734"/>
      <c r="AI1" s="734"/>
      <c r="AJ1" s="734"/>
      <c r="AK1" s="734"/>
      <c r="AL1" s="734"/>
      <c r="AM1" s="734"/>
      <c r="AN1" s="734"/>
      <c r="AO1" s="734"/>
      <c r="AP1" s="734"/>
      <c r="AQ1" s="734"/>
      <c r="AR1" s="734"/>
      <c r="AS1" s="734"/>
      <c r="AT1" s="734"/>
      <c r="AU1" s="734"/>
      <c r="AV1" s="734"/>
      <c r="AW1" s="734"/>
      <c r="AX1" s="734"/>
      <c r="AY1" s="734"/>
      <c r="AZ1" s="734"/>
      <c r="BA1" s="734"/>
      <c r="BB1" s="734"/>
      <c r="BC1" s="734"/>
      <c r="BD1" s="734"/>
      <c r="BE1" s="734"/>
      <c r="BF1" s="734"/>
      <c r="BG1" s="734"/>
      <c r="BH1" s="734"/>
      <c r="BI1" s="734"/>
      <c r="BJ1" s="734"/>
      <c r="BK1" s="734"/>
      <c r="BL1" s="734"/>
      <c r="BM1" s="734"/>
      <c r="BN1" s="734"/>
      <c r="BO1" s="734"/>
      <c r="BP1" s="734"/>
      <c r="BQ1" s="734"/>
      <c r="BR1" s="734"/>
      <c r="BS1" s="734"/>
      <c r="BT1" s="734"/>
      <c r="BU1" s="734"/>
      <c r="BV1" s="734"/>
      <c r="BW1" s="734"/>
      <c r="BX1" s="734"/>
      <c r="BY1" s="734"/>
      <c r="BZ1" s="734"/>
      <c r="CA1" s="734"/>
      <c r="CB1" s="734"/>
      <c r="CC1" s="734"/>
      <c r="CD1" s="734"/>
      <c r="CE1" s="734"/>
      <c r="CF1" s="734"/>
      <c r="CG1" s="734"/>
      <c r="CH1" s="734"/>
      <c r="CI1" s="734"/>
      <c r="CJ1" s="734"/>
      <c r="CK1" s="734"/>
      <c r="CL1" s="734"/>
      <c r="CM1" s="734"/>
      <c r="CN1" s="734"/>
      <c r="CO1" s="734"/>
      <c r="CP1" s="734"/>
      <c r="CQ1" s="734"/>
      <c r="CR1" s="734"/>
      <c r="CS1" s="734"/>
      <c r="CT1" s="734"/>
      <c r="CU1" s="734"/>
      <c r="CV1" s="734"/>
      <c r="CW1" s="734"/>
      <c r="CX1" s="734"/>
      <c r="CY1" s="734"/>
      <c r="CZ1" s="734"/>
      <c r="DA1" s="734"/>
      <c r="DB1" s="734"/>
      <c r="DC1" s="734"/>
      <c r="DD1" s="734"/>
      <c r="DE1" s="734"/>
      <c r="DF1" s="734"/>
      <c r="DG1" s="734"/>
      <c r="DH1" s="734"/>
      <c r="DI1" s="734"/>
      <c r="DJ1" s="734"/>
      <c r="DK1" s="734"/>
      <c r="DL1" s="734"/>
      <c r="DM1" s="734"/>
      <c r="DN1" s="734"/>
      <c r="DO1" s="734"/>
      <c r="DP1" s="734"/>
      <c r="DQ1" s="734"/>
      <c r="DR1" s="734"/>
      <c r="DS1" s="734"/>
      <c r="DT1" s="734"/>
      <c r="DU1" s="734"/>
      <c r="DV1" s="734"/>
      <c r="DW1" s="734"/>
      <c r="DX1" s="734"/>
      <c r="DY1" s="734"/>
      <c r="DZ1" s="734"/>
      <c r="EA1" s="734"/>
      <c r="EB1" s="734"/>
      <c r="EC1" s="734"/>
      <c r="ED1" s="734"/>
      <c r="EE1" s="734"/>
      <c r="EF1" s="734"/>
      <c r="EG1" s="734"/>
      <c r="EH1" s="734"/>
      <c r="EI1" s="734"/>
      <c r="EJ1" s="734"/>
      <c r="EK1" s="734"/>
      <c r="EL1" s="734"/>
      <c r="EM1" s="734"/>
      <c r="EN1" s="734"/>
      <c r="EO1" s="734"/>
      <c r="EP1" s="734"/>
      <c r="EQ1" s="734"/>
      <c r="ER1" s="734"/>
      <c r="ES1" s="734"/>
      <c r="ET1" s="734"/>
      <c r="EU1" s="734"/>
      <c r="EV1" s="734"/>
      <c r="EW1" s="734"/>
      <c r="EX1" s="734"/>
      <c r="EY1" s="734"/>
      <c r="EZ1" s="734"/>
      <c r="FA1" s="734"/>
      <c r="FB1" s="734"/>
      <c r="FC1" s="734"/>
      <c r="FD1" s="734"/>
      <c r="FE1" s="734"/>
      <c r="FF1" s="734"/>
      <c r="FG1" s="734"/>
      <c r="FH1" s="734"/>
      <c r="FI1" s="734"/>
      <c r="FJ1" s="734"/>
      <c r="FK1" s="734"/>
      <c r="FL1" s="734"/>
      <c r="FM1" s="734"/>
      <c r="FN1" s="734"/>
      <c r="FO1" s="734"/>
      <c r="FP1" s="734"/>
      <c r="FQ1" s="734"/>
      <c r="FR1" s="734"/>
      <c r="FS1" s="734"/>
      <c r="FT1" s="734"/>
      <c r="FU1" s="734"/>
      <c r="FV1" s="734"/>
      <c r="FW1" s="734"/>
      <c r="FX1" s="734"/>
      <c r="FY1" s="734"/>
      <c r="FZ1" s="734"/>
      <c r="GA1" s="734"/>
      <c r="GB1" s="734"/>
      <c r="GC1" s="734"/>
      <c r="GD1" s="734"/>
      <c r="GE1" s="734"/>
      <c r="GF1" s="734"/>
      <c r="GG1" s="734"/>
      <c r="GH1" s="734"/>
      <c r="GI1" s="734"/>
      <c r="GJ1" s="734"/>
      <c r="GK1" s="734"/>
      <c r="GL1" s="734"/>
      <c r="GM1" s="734"/>
      <c r="GN1" s="734"/>
      <c r="GO1" s="734"/>
      <c r="GP1" s="734"/>
      <c r="GQ1" s="734"/>
      <c r="GR1" s="734"/>
      <c r="GS1" s="734"/>
      <c r="GT1" s="734"/>
      <c r="GU1" s="734"/>
      <c r="GV1" s="734"/>
      <c r="GW1" s="734"/>
      <c r="GX1" s="734"/>
      <c r="GY1" s="734"/>
      <c r="GZ1" s="734"/>
      <c r="HA1" s="734"/>
    </row>
    <row r="2" spans="1:209" s="8" customFormat="1" x14ac:dyDescent="0.25">
      <c r="A2" s="50"/>
      <c r="B2" s="52"/>
      <c r="C2" s="785"/>
      <c r="D2" s="785"/>
      <c r="E2" s="785"/>
      <c r="F2" s="785"/>
      <c r="G2" s="785"/>
      <c r="H2" s="785"/>
      <c r="I2" s="54"/>
      <c r="J2" s="53"/>
      <c r="K2" s="53"/>
      <c r="L2" s="53"/>
      <c r="M2" s="53"/>
      <c r="N2" s="53"/>
      <c r="O2" s="54"/>
      <c r="P2" s="53"/>
      <c r="Q2" s="53"/>
      <c r="R2" s="53"/>
      <c r="S2" s="53"/>
      <c r="T2" s="53"/>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734"/>
      <c r="BK2" s="734"/>
      <c r="BL2" s="734"/>
      <c r="BM2" s="734"/>
      <c r="BN2" s="734"/>
      <c r="BO2" s="734"/>
      <c r="BP2" s="734"/>
      <c r="BQ2" s="734"/>
      <c r="BR2" s="734"/>
      <c r="BS2" s="734"/>
      <c r="BT2" s="734"/>
      <c r="BU2" s="734"/>
      <c r="BV2" s="734"/>
      <c r="BW2" s="734"/>
      <c r="BX2" s="734"/>
      <c r="BY2" s="734"/>
      <c r="BZ2" s="734"/>
      <c r="CA2" s="734"/>
      <c r="CB2" s="734"/>
      <c r="CC2" s="734"/>
      <c r="CD2" s="734"/>
      <c r="CE2" s="734"/>
      <c r="CF2" s="734"/>
      <c r="CG2" s="734"/>
      <c r="CH2" s="734"/>
      <c r="CI2" s="734"/>
      <c r="CJ2" s="734"/>
      <c r="CK2" s="734"/>
      <c r="CL2" s="734"/>
      <c r="CM2" s="734"/>
      <c r="CN2" s="734"/>
      <c r="CO2" s="734"/>
      <c r="CP2" s="734"/>
      <c r="CQ2" s="734"/>
      <c r="CR2" s="734"/>
      <c r="CS2" s="734"/>
      <c r="CT2" s="734"/>
      <c r="CU2" s="734"/>
      <c r="CV2" s="734"/>
      <c r="CW2" s="734"/>
      <c r="CX2" s="734"/>
      <c r="CY2" s="734"/>
      <c r="CZ2" s="734"/>
      <c r="DA2" s="734"/>
      <c r="DB2" s="734"/>
      <c r="DC2" s="734"/>
      <c r="DD2" s="734"/>
      <c r="DE2" s="734"/>
      <c r="DF2" s="734"/>
      <c r="DG2" s="734"/>
      <c r="DH2" s="734"/>
      <c r="DI2" s="734"/>
      <c r="DJ2" s="734"/>
      <c r="DK2" s="734"/>
      <c r="DL2" s="734"/>
      <c r="DM2" s="734"/>
      <c r="DN2" s="734"/>
      <c r="DO2" s="734"/>
      <c r="DP2" s="734"/>
      <c r="DQ2" s="734"/>
      <c r="DR2" s="734"/>
      <c r="DS2" s="734"/>
      <c r="DT2" s="734"/>
      <c r="DU2" s="734"/>
      <c r="DV2" s="734"/>
      <c r="DW2" s="734"/>
      <c r="DX2" s="734"/>
      <c r="DY2" s="734"/>
      <c r="DZ2" s="734"/>
      <c r="EA2" s="734"/>
      <c r="EB2" s="734"/>
      <c r="EC2" s="734"/>
      <c r="ED2" s="734"/>
      <c r="EE2" s="734"/>
      <c r="EF2" s="734"/>
      <c r="EG2" s="734"/>
      <c r="EH2" s="734"/>
      <c r="EI2" s="734"/>
      <c r="EJ2" s="734"/>
      <c r="EK2" s="734"/>
      <c r="EL2" s="734"/>
      <c r="EM2" s="734"/>
      <c r="EN2" s="734"/>
      <c r="EO2" s="734"/>
      <c r="EP2" s="734"/>
      <c r="EQ2" s="734"/>
      <c r="ER2" s="734"/>
      <c r="ES2" s="734"/>
      <c r="ET2" s="734"/>
      <c r="EU2" s="734"/>
      <c r="EV2" s="734"/>
      <c r="EW2" s="734"/>
      <c r="EX2" s="734"/>
      <c r="EY2" s="734"/>
      <c r="EZ2" s="734"/>
      <c r="FA2" s="734"/>
      <c r="FB2" s="734"/>
      <c r="FC2" s="734"/>
      <c r="FD2" s="734"/>
      <c r="FE2" s="734"/>
      <c r="FF2" s="734"/>
      <c r="FG2" s="734"/>
      <c r="FH2" s="734"/>
      <c r="FI2" s="734"/>
      <c r="FJ2" s="734"/>
      <c r="FK2" s="734"/>
      <c r="FL2" s="734"/>
      <c r="FM2" s="734"/>
      <c r="FN2" s="734"/>
      <c r="FO2" s="734"/>
      <c r="FP2" s="734"/>
      <c r="FQ2" s="734"/>
      <c r="FR2" s="734"/>
      <c r="FS2" s="734"/>
      <c r="FT2" s="734"/>
      <c r="FU2" s="734"/>
      <c r="FV2" s="734"/>
      <c r="FW2" s="734"/>
      <c r="FX2" s="734"/>
      <c r="FY2" s="734"/>
      <c r="FZ2" s="734"/>
      <c r="GA2" s="734"/>
      <c r="GB2" s="734"/>
      <c r="GC2" s="734"/>
      <c r="GD2" s="734"/>
      <c r="GE2" s="734"/>
      <c r="GF2" s="734"/>
      <c r="GG2" s="734"/>
      <c r="GH2" s="734"/>
      <c r="GI2" s="734"/>
      <c r="GJ2" s="734"/>
      <c r="GK2" s="734"/>
      <c r="GL2" s="734"/>
      <c r="GM2" s="734"/>
      <c r="GN2" s="734"/>
      <c r="GO2" s="734"/>
      <c r="GP2" s="734"/>
      <c r="GQ2" s="734"/>
      <c r="GR2" s="734"/>
      <c r="GS2" s="734"/>
      <c r="GT2" s="734"/>
      <c r="GU2" s="734"/>
      <c r="GV2" s="734"/>
      <c r="GW2" s="734"/>
      <c r="GX2" s="734"/>
      <c r="GY2" s="734"/>
      <c r="GZ2" s="734"/>
      <c r="HA2" s="734"/>
    </row>
    <row r="3" spans="1:209" s="8" customFormat="1" ht="15.75" customHeight="1" x14ac:dyDescent="0.25">
      <c r="A3" s="782" t="s">
        <v>83</v>
      </c>
      <c r="B3" s="783" t="s">
        <v>400</v>
      </c>
      <c r="C3" s="784" t="s">
        <v>716</v>
      </c>
      <c r="D3" s="784"/>
      <c r="E3" s="784"/>
      <c r="F3" s="784"/>
      <c r="G3" s="784"/>
      <c r="H3" s="784"/>
      <c r="I3" s="784" t="s">
        <v>1205</v>
      </c>
      <c r="J3" s="784"/>
      <c r="K3" s="784"/>
      <c r="L3" s="784"/>
      <c r="M3" s="784"/>
      <c r="N3" s="784"/>
      <c r="O3" s="784" t="s">
        <v>789</v>
      </c>
      <c r="P3" s="784"/>
      <c r="Q3" s="784"/>
      <c r="R3" s="784"/>
      <c r="S3" s="784"/>
      <c r="T3" s="784"/>
      <c r="U3" s="8" t="s">
        <v>845</v>
      </c>
      <c r="V3" s="734" t="s">
        <v>663</v>
      </c>
      <c r="W3" s="734"/>
      <c r="X3" s="734"/>
      <c r="Y3" s="734"/>
      <c r="Z3" s="734"/>
      <c r="AA3" s="734"/>
      <c r="AB3" s="734"/>
      <c r="AC3" s="734"/>
      <c r="AD3" s="734"/>
      <c r="AE3" s="734"/>
      <c r="AF3" s="734"/>
      <c r="AG3" s="734"/>
      <c r="AH3" s="734"/>
      <c r="AI3" s="734"/>
      <c r="AJ3" s="734"/>
      <c r="AK3" s="734"/>
      <c r="AL3" s="734"/>
      <c r="AM3" s="734"/>
      <c r="AN3" s="734"/>
      <c r="AO3" s="734"/>
      <c r="AP3" s="734"/>
      <c r="AQ3" s="734"/>
      <c r="AR3" s="734"/>
      <c r="AS3" s="734"/>
      <c r="AT3" s="734"/>
      <c r="AU3" s="734"/>
      <c r="AV3" s="734"/>
      <c r="AW3" s="734"/>
      <c r="AX3" s="734"/>
      <c r="AY3" s="734"/>
      <c r="AZ3" s="734"/>
      <c r="BA3" s="734"/>
      <c r="BB3" s="734"/>
      <c r="BC3" s="734"/>
      <c r="BD3" s="734"/>
      <c r="BE3" s="734"/>
      <c r="BF3" s="734"/>
      <c r="BG3" s="734"/>
      <c r="BH3" s="734"/>
      <c r="BI3" s="734"/>
      <c r="BJ3" s="734"/>
      <c r="BK3" s="734"/>
      <c r="BL3" s="734"/>
      <c r="BM3" s="734"/>
      <c r="BN3" s="734"/>
      <c r="BO3" s="734"/>
      <c r="BP3" s="734"/>
      <c r="BQ3" s="734"/>
      <c r="BR3" s="734"/>
      <c r="BS3" s="734"/>
      <c r="BT3" s="734"/>
      <c r="BU3" s="734"/>
      <c r="BV3" s="734"/>
      <c r="BW3" s="734"/>
      <c r="BX3" s="734"/>
      <c r="BY3" s="734"/>
      <c r="BZ3" s="734"/>
      <c r="CA3" s="734"/>
      <c r="CB3" s="734"/>
      <c r="CC3" s="734"/>
      <c r="CD3" s="734"/>
      <c r="CE3" s="734"/>
      <c r="CF3" s="734"/>
      <c r="CG3" s="734"/>
      <c r="CH3" s="734"/>
      <c r="CI3" s="734"/>
      <c r="CJ3" s="734"/>
      <c r="CK3" s="734"/>
      <c r="CL3" s="734"/>
      <c r="CM3" s="734"/>
      <c r="CN3" s="734"/>
      <c r="CO3" s="734"/>
      <c r="CP3" s="734"/>
      <c r="CQ3" s="734"/>
      <c r="CR3" s="734"/>
      <c r="CS3" s="734"/>
      <c r="CT3" s="734"/>
      <c r="CU3" s="734"/>
      <c r="CV3" s="734"/>
      <c r="CW3" s="734"/>
      <c r="CX3" s="734"/>
      <c r="CY3" s="734"/>
      <c r="CZ3" s="734"/>
      <c r="DA3" s="734"/>
      <c r="DB3" s="734"/>
      <c r="DC3" s="734"/>
      <c r="DD3" s="734"/>
      <c r="DE3" s="734"/>
      <c r="DF3" s="734"/>
      <c r="DG3" s="734"/>
      <c r="DH3" s="734"/>
      <c r="DI3" s="734"/>
      <c r="DJ3" s="734"/>
      <c r="DK3" s="734"/>
      <c r="DL3" s="734"/>
      <c r="DM3" s="734"/>
      <c r="DN3" s="734"/>
      <c r="DO3" s="734"/>
      <c r="DP3" s="734"/>
      <c r="DQ3" s="734"/>
      <c r="DR3" s="734"/>
      <c r="DS3" s="734"/>
      <c r="DT3" s="734"/>
      <c r="DU3" s="734"/>
      <c r="DV3" s="734"/>
      <c r="DW3" s="734"/>
      <c r="DX3" s="734"/>
      <c r="DY3" s="734"/>
      <c r="DZ3" s="734"/>
      <c r="EA3" s="734"/>
      <c r="EB3" s="734"/>
      <c r="EC3" s="734"/>
      <c r="ED3" s="734"/>
      <c r="EE3" s="734"/>
      <c r="EF3" s="734"/>
      <c r="EG3" s="734"/>
      <c r="EH3" s="734"/>
      <c r="EI3" s="734"/>
      <c r="EJ3" s="734"/>
      <c r="EK3" s="734"/>
      <c r="EL3" s="734"/>
      <c r="EM3" s="734"/>
      <c r="EN3" s="734"/>
      <c r="EO3" s="734"/>
      <c r="EP3" s="734"/>
      <c r="EQ3" s="734"/>
      <c r="ER3" s="734"/>
      <c r="ES3" s="734"/>
      <c r="ET3" s="734"/>
      <c r="EU3" s="734"/>
      <c r="EV3" s="734"/>
      <c r="EW3" s="734"/>
      <c r="EX3" s="734"/>
      <c r="EY3" s="734"/>
      <c r="EZ3" s="734"/>
      <c r="FA3" s="734"/>
      <c r="FB3" s="734"/>
      <c r="FC3" s="734"/>
      <c r="FD3" s="734"/>
      <c r="FE3" s="734"/>
      <c r="FF3" s="734"/>
      <c r="FG3" s="734"/>
      <c r="FH3" s="734"/>
      <c r="FI3" s="734"/>
      <c r="FJ3" s="734"/>
      <c r="FK3" s="734"/>
      <c r="FL3" s="734"/>
      <c r="FM3" s="734"/>
      <c r="FN3" s="734"/>
      <c r="FO3" s="734"/>
      <c r="FP3" s="734"/>
      <c r="FQ3" s="734"/>
      <c r="FR3" s="734"/>
      <c r="FS3" s="734"/>
      <c r="FT3" s="734"/>
      <c r="FU3" s="734"/>
      <c r="FV3" s="734"/>
      <c r="FW3" s="734"/>
      <c r="FX3" s="734"/>
      <c r="FY3" s="734"/>
      <c r="FZ3" s="734"/>
      <c r="GA3" s="734"/>
      <c r="GB3" s="734"/>
      <c r="GC3" s="734"/>
      <c r="GD3" s="734"/>
      <c r="GE3" s="734"/>
      <c r="GF3" s="734"/>
      <c r="GG3" s="734"/>
      <c r="GH3" s="734"/>
      <c r="GI3" s="734"/>
      <c r="GJ3" s="734"/>
      <c r="GK3" s="734"/>
      <c r="GL3" s="734"/>
      <c r="GM3" s="734"/>
      <c r="GN3" s="734"/>
      <c r="GO3" s="734"/>
      <c r="GP3" s="734"/>
      <c r="GQ3" s="734"/>
      <c r="GR3" s="734"/>
      <c r="GS3" s="734"/>
      <c r="GT3" s="734"/>
      <c r="GU3" s="734"/>
      <c r="GV3" s="734"/>
      <c r="GW3" s="734"/>
      <c r="GX3" s="734"/>
      <c r="GY3" s="734"/>
      <c r="GZ3" s="734"/>
      <c r="HA3" s="734"/>
    </row>
    <row r="4" spans="1:209" s="8" customFormat="1" x14ac:dyDescent="0.25">
      <c r="A4" s="782"/>
      <c r="B4" s="783"/>
      <c r="C4" s="55" t="s">
        <v>401</v>
      </c>
      <c r="D4" s="265" t="s">
        <v>402</v>
      </c>
      <c r="E4" s="265" t="s">
        <v>403</v>
      </c>
      <c r="F4" s="265" t="s">
        <v>404</v>
      </c>
      <c r="G4" s="265" t="s">
        <v>405</v>
      </c>
      <c r="H4" s="265" t="s">
        <v>406</v>
      </c>
      <c r="I4" s="265" t="s">
        <v>401</v>
      </c>
      <c r="J4" s="265" t="s">
        <v>402</v>
      </c>
      <c r="K4" s="265" t="s">
        <v>403</v>
      </c>
      <c r="L4" s="265" t="s">
        <v>404</v>
      </c>
      <c r="M4" s="265" t="s">
        <v>405</v>
      </c>
      <c r="N4" s="265" t="s">
        <v>406</v>
      </c>
      <c r="O4" s="265" t="s">
        <v>401</v>
      </c>
      <c r="P4" s="265" t="s">
        <v>402</v>
      </c>
      <c r="Q4" s="265" t="s">
        <v>403</v>
      </c>
      <c r="R4" s="265" t="s">
        <v>404</v>
      </c>
      <c r="S4" s="265" t="s">
        <v>405</v>
      </c>
      <c r="T4" s="265" t="s">
        <v>406</v>
      </c>
    </row>
    <row r="5" spans="1:209" s="283" customFormat="1" ht="63" x14ac:dyDescent="0.3">
      <c r="A5" s="551">
        <v>1</v>
      </c>
      <c r="B5" s="406" t="s">
        <v>928</v>
      </c>
      <c r="C5" s="149">
        <f>SUM(D5:H5)</f>
        <v>13286.619999999999</v>
      </c>
      <c r="D5" s="149">
        <f>SUM(D6+D9+D12)</f>
        <v>0</v>
      </c>
      <c r="E5" s="149">
        <f>SUM(E6+E9+E12)</f>
        <v>5960.62</v>
      </c>
      <c r="F5" s="149">
        <f>SUM(F6+F9+F12)+F16</f>
        <v>7326</v>
      </c>
      <c r="G5" s="149">
        <f>SUM(G6+G9+G12)</f>
        <v>0</v>
      </c>
      <c r="H5" s="149">
        <f>SUM(H6+H9+H12)</f>
        <v>0</v>
      </c>
      <c r="I5" s="149">
        <f>SUM(J5:N5)</f>
        <v>125841.18678</v>
      </c>
      <c r="J5" s="149">
        <f>SUM(J6+J9+J12)</f>
        <v>106512.86</v>
      </c>
      <c r="K5" s="149">
        <f>SUM(K6+K9+K12)</f>
        <v>7156.466989999999</v>
      </c>
      <c r="L5" s="149">
        <f>SUM(L6+L9+L12)+L16</f>
        <v>9921.8597900000004</v>
      </c>
      <c r="M5" s="149">
        <f>SUM(M6+M9+M12)</f>
        <v>2250</v>
      </c>
      <c r="N5" s="149">
        <f>SUM(N6+N9+N12)</f>
        <v>0</v>
      </c>
      <c r="O5" s="149">
        <f>SUM(P5:T5)</f>
        <v>118404.05213</v>
      </c>
      <c r="P5" s="149">
        <f>SUM(P6+P9+P12)</f>
        <v>106512.86</v>
      </c>
      <c r="Q5" s="149">
        <f>SUM(Q6+Q9+Q12)</f>
        <v>1430.60699</v>
      </c>
      <c r="R5" s="149">
        <f>SUM(R6+R9+R12)+R16</f>
        <v>8210.5851399999992</v>
      </c>
      <c r="S5" s="149">
        <f>SUM(S6+S9+S12)</f>
        <v>2250</v>
      </c>
      <c r="T5" s="149">
        <f>SUM(T6+T9+T12)</f>
        <v>0</v>
      </c>
      <c r="U5" s="149">
        <f>SUM(U6+U9+U12)+U16</f>
        <v>68094.12</v>
      </c>
      <c r="V5" s="735">
        <f>O5/I5*100</f>
        <v>94.090063165883947</v>
      </c>
      <c r="W5" s="734"/>
      <c r="X5" s="739"/>
      <c r="Y5" s="736"/>
      <c r="Z5" s="736"/>
      <c r="AA5" s="734"/>
      <c r="AB5" s="737"/>
      <c r="AC5" s="737"/>
      <c r="AD5" s="737">
        <f>L5/I5*100</f>
        <v>7.8844296083648233</v>
      </c>
      <c r="AE5" s="737">
        <f>M5/I5*100</f>
        <v>1.7879678804472252</v>
      </c>
      <c r="AF5" s="734"/>
      <c r="AG5" s="734"/>
      <c r="AH5" s="734"/>
      <c r="AI5" s="734"/>
      <c r="AJ5" s="734"/>
      <c r="AK5" s="734"/>
      <c r="AL5" s="734"/>
      <c r="AM5" s="734"/>
      <c r="AN5" s="734"/>
      <c r="AO5" s="734"/>
      <c r="AP5" s="734"/>
      <c r="AQ5" s="734"/>
      <c r="AR5" s="734"/>
      <c r="AS5" s="734"/>
      <c r="AT5" s="734"/>
      <c r="AU5" s="734"/>
      <c r="AV5" s="734"/>
      <c r="AW5" s="734"/>
      <c r="AX5" s="734"/>
      <c r="AY5" s="734"/>
      <c r="AZ5" s="734"/>
      <c r="BA5" s="734"/>
      <c r="BB5" s="734"/>
      <c r="BC5" s="734"/>
      <c r="BD5" s="734"/>
      <c r="BE5" s="734"/>
      <c r="BF5" s="734"/>
      <c r="BG5" s="734"/>
      <c r="BH5" s="734"/>
      <c r="BI5" s="734"/>
      <c r="BJ5" s="734"/>
      <c r="BK5" s="734"/>
      <c r="BL5" s="734"/>
      <c r="BM5" s="734"/>
      <c r="BN5" s="734"/>
      <c r="BO5" s="734"/>
      <c r="BP5" s="734"/>
      <c r="BQ5" s="734"/>
      <c r="BR5" s="734"/>
      <c r="BS5" s="734"/>
      <c r="BT5" s="734"/>
      <c r="BU5" s="734"/>
      <c r="BV5" s="734"/>
      <c r="BW5" s="734"/>
      <c r="BX5" s="734"/>
      <c r="BY5" s="734"/>
      <c r="BZ5" s="734"/>
      <c r="CA5" s="734"/>
      <c r="CB5" s="734"/>
      <c r="CC5" s="734"/>
      <c r="CD5" s="734"/>
      <c r="CE5" s="734"/>
      <c r="CF5" s="734"/>
      <c r="CG5" s="734"/>
      <c r="CH5" s="734"/>
      <c r="CI5" s="734"/>
      <c r="CJ5" s="734"/>
      <c r="CK5" s="734"/>
      <c r="CL5" s="734"/>
      <c r="CM5" s="734"/>
      <c r="CN5" s="734"/>
      <c r="CO5" s="734"/>
      <c r="CP5" s="734"/>
      <c r="CQ5" s="734"/>
      <c r="CR5" s="734"/>
      <c r="CS5" s="734"/>
      <c r="CT5" s="734"/>
      <c r="CU5" s="734"/>
      <c r="CV5" s="734"/>
      <c r="CW5" s="734"/>
      <c r="CX5" s="734"/>
      <c r="CY5" s="734"/>
      <c r="CZ5" s="734"/>
      <c r="DA5" s="734"/>
      <c r="DB5" s="734"/>
      <c r="DC5" s="734"/>
      <c r="DD5" s="734"/>
      <c r="DE5" s="734"/>
      <c r="DF5" s="734"/>
      <c r="DG5" s="734"/>
      <c r="DH5" s="734"/>
      <c r="DI5" s="734"/>
      <c r="DJ5" s="734"/>
      <c r="DK5" s="734"/>
      <c r="DL5" s="734"/>
      <c r="DM5" s="734"/>
      <c r="DN5" s="734"/>
      <c r="DO5" s="734"/>
      <c r="DP5" s="734"/>
      <c r="DQ5" s="734"/>
      <c r="DR5" s="734"/>
      <c r="DS5" s="734"/>
      <c r="DT5" s="734"/>
      <c r="DU5" s="734"/>
      <c r="DV5" s="734"/>
      <c r="DW5" s="734"/>
      <c r="DX5" s="734"/>
      <c r="DY5" s="734"/>
      <c r="DZ5" s="734"/>
      <c r="EA5" s="734"/>
      <c r="EB5" s="734"/>
      <c r="EC5" s="734"/>
      <c r="ED5" s="734"/>
      <c r="EE5" s="734"/>
      <c r="EF5" s="734"/>
      <c r="EG5" s="734"/>
      <c r="EH5" s="734"/>
      <c r="EI5" s="734"/>
      <c r="EJ5" s="734"/>
      <c r="EK5" s="734"/>
      <c r="EL5" s="734"/>
      <c r="EM5" s="734"/>
      <c r="EN5" s="734"/>
      <c r="EO5" s="734"/>
      <c r="EP5" s="734"/>
      <c r="EQ5" s="734"/>
      <c r="ER5" s="734"/>
      <c r="ES5" s="734"/>
      <c r="ET5" s="734"/>
      <c r="EU5" s="734"/>
      <c r="EV5" s="734"/>
      <c r="EW5" s="734"/>
      <c r="EX5" s="734"/>
      <c r="EY5" s="734"/>
      <c r="EZ5" s="734"/>
      <c r="FA5" s="734"/>
      <c r="FB5" s="734"/>
      <c r="FC5" s="734"/>
      <c r="FD5" s="734"/>
      <c r="FE5" s="734"/>
      <c r="FF5" s="734"/>
      <c r="FG5" s="734"/>
      <c r="FH5" s="734"/>
      <c r="FI5" s="734"/>
      <c r="FJ5" s="734"/>
      <c r="FK5" s="734"/>
      <c r="FL5" s="734"/>
      <c r="FM5" s="734"/>
      <c r="FN5" s="734"/>
      <c r="FO5" s="734"/>
      <c r="FP5" s="734"/>
      <c r="FQ5" s="734"/>
      <c r="FR5" s="734"/>
      <c r="FS5" s="734"/>
      <c r="FT5" s="734"/>
      <c r="FU5" s="734"/>
      <c r="FV5" s="734"/>
      <c r="FW5" s="734"/>
      <c r="FX5" s="734"/>
      <c r="FY5" s="734"/>
      <c r="FZ5" s="734"/>
      <c r="GA5" s="734"/>
      <c r="GB5" s="734"/>
      <c r="GC5" s="734"/>
      <c r="GD5" s="734"/>
      <c r="GE5" s="734"/>
      <c r="GF5" s="734"/>
      <c r="GG5" s="734"/>
      <c r="GH5" s="734"/>
      <c r="GI5" s="734"/>
      <c r="GJ5" s="734"/>
      <c r="GK5" s="734"/>
      <c r="GL5" s="734"/>
      <c r="GM5" s="734"/>
      <c r="GN5" s="734"/>
      <c r="GO5" s="734"/>
      <c r="GP5" s="734"/>
      <c r="GQ5" s="734"/>
      <c r="GR5" s="734"/>
      <c r="GS5" s="734"/>
      <c r="GT5" s="734"/>
      <c r="GU5" s="734"/>
      <c r="GV5" s="734"/>
      <c r="GW5" s="734"/>
      <c r="GX5" s="734"/>
      <c r="GY5" s="734"/>
      <c r="GZ5" s="734"/>
      <c r="HA5" s="734"/>
    </row>
    <row r="6" spans="1:209" s="8" customFormat="1" ht="48.75" customHeight="1" x14ac:dyDescent="0.25">
      <c r="A6" s="272"/>
      <c r="B6" s="57" t="s">
        <v>905</v>
      </c>
      <c r="C6" s="124">
        <f t="shared" ref="C6:C16" si="0">SUM(D6:H6)</f>
        <v>2500</v>
      </c>
      <c r="D6" s="407"/>
      <c r="E6" s="407"/>
      <c r="F6" s="407">
        <f>F7+F8</f>
        <v>2500</v>
      </c>
      <c r="G6" s="407">
        <f>G7+G8</f>
        <v>0</v>
      </c>
      <c r="H6" s="407"/>
      <c r="I6" s="124">
        <f t="shared" ref="I6:I19" si="1">SUM(J6:N6)</f>
        <v>2225.99503</v>
      </c>
      <c r="J6" s="407"/>
      <c r="K6" s="407"/>
      <c r="L6" s="407">
        <f>L7+L8</f>
        <v>2225.99503</v>
      </c>
      <c r="M6" s="407"/>
      <c r="N6" s="407"/>
      <c r="O6" s="124">
        <f t="shared" ref="O5:O19" si="2">SUM(P6:T6)</f>
        <v>1126.75</v>
      </c>
      <c r="P6" s="407"/>
      <c r="Q6" s="407"/>
      <c r="R6" s="407">
        <f>R7+R8</f>
        <v>1126.75</v>
      </c>
      <c r="S6" s="407"/>
      <c r="T6" s="407"/>
      <c r="U6" s="407">
        <f>U7+U8</f>
        <v>1500</v>
      </c>
    </row>
    <row r="7" spans="1:209" s="8" customFormat="1" x14ac:dyDescent="0.25">
      <c r="A7" s="272"/>
      <c r="B7" s="58" t="s">
        <v>904</v>
      </c>
      <c r="C7" s="427">
        <f t="shared" si="0"/>
        <v>1500</v>
      </c>
      <c r="D7" s="408"/>
      <c r="E7" s="408"/>
      <c r="F7" s="408">
        <v>1500</v>
      </c>
      <c r="G7" s="409"/>
      <c r="H7" s="408"/>
      <c r="I7" s="427">
        <f t="shared" si="1"/>
        <v>1625.99503</v>
      </c>
      <c r="J7" s="408"/>
      <c r="K7" s="408"/>
      <c r="L7" s="410">
        <v>1625.99503</v>
      </c>
      <c r="M7" s="408"/>
      <c r="N7" s="408"/>
      <c r="O7" s="427">
        <f t="shared" si="2"/>
        <v>1126.75</v>
      </c>
      <c r="P7" s="408"/>
      <c r="Q7" s="408"/>
      <c r="R7" s="410">
        <v>1126.75</v>
      </c>
      <c r="S7" s="408"/>
      <c r="T7" s="408"/>
      <c r="U7" s="8">
        <v>1500</v>
      </c>
      <c r="V7" s="465">
        <f>L7-R7</f>
        <v>499.24503000000004</v>
      </c>
    </row>
    <row r="8" spans="1:209" s="8" customFormat="1" x14ac:dyDescent="0.25">
      <c r="A8" s="272"/>
      <c r="B8" s="58" t="s">
        <v>407</v>
      </c>
      <c r="C8" s="427">
        <f t="shared" si="0"/>
        <v>1000</v>
      </c>
      <c r="D8" s="408"/>
      <c r="E8" s="408"/>
      <c r="F8" s="129">
        <v>1000</v>
      </c>
      <c r="G8" s="408"/>
      <c r="H8" s="408"/>
      <c r="I8" s="427">
        <f t="shared" si="1"/>
        <v>600</v>
      </c>
      <c r="J8" s="408"/>
      <c r="K8" s="408"/>
      <c r="L8" s="125">
        <v>600</v>
      </c>
      <c r="M8" s="408"/>
      <c r="N8" s="408"/>
      <c r="O8" s="427">
        <f t="shared" si="2"/>
        <v>0</v>
      </c>
      <c r="P8" s="408"/>
      <c r="Q8" s="408"/>
      <c r="R8" s="125"/>
      <c r="S8" s="408"/>
      <c r="T8" s="408"/>
      <c r="V8" s="465">
        <f t="shared" ref="V8:V17" si="3">L8-R8</f>
        <v>600</v>
      </c>
    </row>
    <row r="9" spans="1:209" s="8" customFormat="1" ht="31.5" x14ac:dyDescent="0.25">
      <c r="A9" s="272"/>
      <c r="B9" s="57" t="s">
        <v>408</v>
      </c>
      <c r="C9" s="124">
        <f>SUM(D9:H9)</f>
        <v>6960.62</v>
      </c>
      <c r="D9" s="407">
        <f>SUM(D10:D11)</f>
        <v>0</v>
      </c>
      <c r="E9" s="407">
        <f>SUM(E10:E11)</f>
        <v>5960.62</v>
      </c>
      <c r="F9" s="407">
        <f>SUM(F10:F11)</f>
        <v>1000</v>
      </c>
      <c r="G9" s="407">
        <f t="shared" ref="G9:N9" si="4">SUM(G10:G11)</f>
        <v>0</v>
      </c>
      <c r="H9" s="407">
        <f t="shared" si="4"/>
        <v>0</v>
      </c>
      <c r="I9" s="124">
        <f t="shared" si="1"/>
        <v>12317.169999999998</v>
      </c>
      <c r="J9" s="407">
        <f t="shared" si="4"/>
        <v>2675.96</v>
      </c>
      <c r="K9" s="407">
        <f t="shared" si="4"/>
        <v>5958.5499999999993</v>
      </c>
      <c r="L9" s="407">
        <f>SUM(L10:L11)</f>
        <v>1432.66</v>
      </c>
      <c r="M9" s="407">
        <f t="shared" si="4"/>
        <v>2250</v>
      </c>
      <c r="N9" s="407">
        <f t="shared" si="4"/>
        <v>0</v>
      </c>
      <c r="O9" s="124">
        <f t="shared" si="2"/>
        <v>6591.31</v>
      </c>
      <c r="P9" s="407">
        <f t="shared" ref="P9:U9" si="5">SUM(P10:P11)</f>
        <v>2675.96</v>
      </c>
      <c r="Q9" s="407">
        <f t="shared" si="5"/>
        <v>232.69</v>
      </c>
      <c r="R9" s="407">
        <f t="shared" si="5"/>
        <v>1432.66</v>
      </c>
      <c r="S9" s="407">
        <f t="shared" si="5"/>
        <v>2250</v>
      </c>
      <c r="T9" s="407">
        <f t="shared" si="5"/>
        <v>0</v>
      </c>
      <c r="U9" s="407">
        <f t="shared" si="5"/>
        <v>6591.31</v>
      </c>
      <c r="V9" s="465">
        <f t="shared" si="3"/>
        <v>0</v>
      </c>
    </row>
    <row r="10" spans="1:209" s="8" customFormat="1" ht="47.25" x14ac:dyDescent="0.25">
      <c r="A10" s="272"/>
      <c r="B10" s="58" t="s">
        <v>409</v>
      </c>
      <c r="C10" s="427">
        <f t="shared" si="0"/>
        <v>5960.62</v>
      </c>
      <c r="D10" s="408"/>
      <c r="E10" s="409">
        <v>5960.62</v>
      </c>
      <c r="F10" s="408"/>
      <c r="G10" s="408"/>
      <c r="H10" s="408"/>
      <c r="I10" s="427">
        <f t="shared" si="1"/>
        <v>5725.86</v>
      </c>
      <c r="J10" s="408"/>
      <c r="K10" s="408">
        <v>5725.86</v>
      </c>
      <c r="L10" s="408"/>
      <c r="M10" s="408"/>
      <c r="N10" s="408"/>
      <c r="O10" s="427">
        <f t="shared" si="2"/>
        <v>0</v>
      </c>
      <c r="P10" s="408"/>
      <c r="Q10" s="408"/>
      <c r="R10" s="408"/>
      <c r="S10" s="408"/>
      <c r="T10" s="408"/>
      <c r="V10" s="465">
        <f t="shared" si="3"/>
        <v>0</v>
      </c>
    </row>
    <row r="11" spans="1:209" s="8" customFormat="1" x14ac:dyDescent="0.25">
      <c r="A11" s="272"/>
      <c r="B11" s="58" t="s">
        <v>410</v>
      </c>
      <c r="C11" s="427">
        <f t="shared" si="0"/>
        <v>1000</v>
      </c>
      <c r="D11" s="409"/>
      <c r="E11" s="409"/>
      <c r="F11" s="409">
        <v>1000</v>
      </c>
      <c r="G11" s="411">
        <v>0</v>
      </c>
      <c r="H11" s="408"/>
      <c r="I11" s="427">
        <f t="shared" si="1"/>
        <v>6591.31</v>
      </c>
      <c r="J11" s="408">
        <v>2675.96</v>
      </c>
      <c r="K11" s="408">
        <v>232.69</v>
      </c>
      <c r="L11" s="408">
        <v>1432.66</v>
      </c>
      <c r="M11" s="408">
        <v>2250</v>
      </c>
      <c r="N11" s="408"/>
      <c r="O11" s="427">
        <f t="shared" si="2"/>
        <v>6591.31</v>
      </c>
      <c r="P11" s="408">
        <v>2675.96</v>
      </c>
      <c r="Q11" s="408">
        <v>232.69</v>
      </c>
      <c r="R11" s="408">
        <v>1432.66</v>
      </c>
      <c r="S11" s="408">
        <v>2250</v>
      </c>
      <c r="T11" s="408"/>
      <c r="U11" s="8">
        <v>6591.31</v>
      </c>
      <c r="V11" s="465">
        <f t="shared" si="3"/>
        <v>0</v>
      </c>
    </row>
    <row r="12" spans="1:209" s="8" customFormat="1" ht="31.5" x14ac:dyDescent="0.25">
      <c r="A12" s="272"/>
      <c r="B12" s="57" t="s">
        <v>411</v>
      </c>
      <c r="C12" s="124">
        <f>SUM(D12:H12)</f>
        <v>2000</v>
      </c>
      <c r="D12" s="407">
        <f>SUM(D13:D15)</f>
        <v>0</v>
      </c>
      <c r="E12" s="407">
        <f>SUM(E13:E15)</f>
        <v>0</v>
      </c>
      <c r="F12" s="407">
        <f>SUM(F13:F15)</f>
        <v>2000</v>
      </c>
      <c r="G12" s="407">
        <f>SUM(G13:G15)</f>
        <v>0</v>
      </c>
      <c r="H12" s="407">
        <f>SUM(H13:H15)</f>
        <v>0</v>
      </c>
      <c r="I12" s="124">
        <f>SUM(J12:N12)</f>
        <v>108470.80412999999</v>
      </c>
      <c r="J12" s="407">
        <f>SUM(J13:J15)</f>
        <v>103836.9</v>
      </c>
      <c r="K12" s="407">
        <f>SUM(K13:K15)</f>
        <v>1197.9169899999999</v>
      </c>
      <c r="L12" s="407">
        <f>SUM(L13:L15)</f>
        <v>3435.9871400000002</v>
      </c>
      <c r="M12" s="407"/>
      <c r="N12" s="407"/>
      <c r="O12" s="124">
        <f t="shared" si="2"/>
        <v>108149.16080999999</v>
      </c>
      <c r="P12" s="407">
        <f>SUM(P13:P15)</f>
        <v>103836.9</v>
      </c>
      <c r="Q12" s="407">
        <f>SUM(Q13:Q15)</f>
        <v>1197.9169899999999</v>
      </c>
      <c r="R12" s="407">
        <f>SUM(R13:R15)</f>
        <v>3114.3438200000001</v>
      </c>
      <c r="S12" s="407"/>
      <c r="T12" s="407"/>
      <c r="U12" s="407">
        <f>SUM(U13:U15)</f>
        <v>56664.09</v>
      </c>
      <c r="V12" s="465">
        <f t="shared" si="3"/>
        <v>321.64332000000013</v>
      </c>
    </row>
    <row r="13" spans="1:209" s="8" customFormat="1" x14ac:dyDescent="0.25">
      <c r="A13" s="272"/>
      <c r="B13" s="58" t="s">
        <v>412</v>
      </c>
      <c r="C13" s="427">
        <f t="shared" si="0"/>
        <v>2000</v>
      </c>
      <c r="D13" s="408"/>
      <c r="E13" s="408"/>
      <c r="F13" s="409">
        <v>2000</v>
      </c>
      <c r="G13" s="408"/>
      <c r="H13" s="408"/>
      <c r="I13" s="427">
        <f t="shared" si="1"/>
        <v>107900.80412999999</v>
      </c>
      <c r="J13" s="408">
        <v>103836.9</v>
      </c>
      <c r="K13" s="408">
        <v>1197.9169899999999</v>
      </c>
      <c r="L13" s="408">
        <f>1490.4697+1375.51744</f>
        <v>2865.9871400000002</v>
      </c>
      <c r="M13" s="408"/>
      <c r="N13" s="125"/>
      <c r="O13" s="427">
        <f t="shared" si="2"/>
        <v>107579.16080999999</v>
      </c>
      <c r="P13" s="408">
        <v>103836.9</v>
      </c>
      <c r="Q13" s="408">
        <v>1197.9169899999999</v>
      </c>
      <c r="R13" s="408">
        <f>1168.82638+1375.51744</f>
        <v>2544.3438200000001</v>
      </c>
      <c r="S13" s="408"/>
      <c r="T13" s="408"/>
      <c r="U13" s="8">
        <v>56094.09</v>
      </c>
      <c r="V13" s="465">
        <f t="shared" si="3"/>
        <v>321.64332000000013</v>
      </c>
    </row>
    <row r="14" spans="1:209" s="8" customFormat="1" x14ac:dyDescent="0.25">
      <c r="A14" s="272"/>
      <c r="B14" s="58" t="s">
        <v>413</v>
      </c>
      <c r="C14" s="427">
        <f t="shared" si="0"/>
        <v>0</v>
      </c>
      <c r="D14" s="409"/>
      <c r="E14" s="409"/>
      <c r="F14" s="408"/>
      <c r="G14" s="408"/>
      <c r="H14" s="409"/>
      <c r="I14" s="427">
        <f t="shared" si="1"/>
        <v>0</v>
      </c>
      <c r="J14" s="408"/>
      <c r="K14" s="408"/>
      <c r="L14" s="125"/>
      <c r="M14" s="408"/>
      <c r="N14" s="408"/>
      <c r="O14" s="427">
        <f t="shared" si="2"/>
        <v>0</v>
      </c>
      <c r="P14" s="408"/>
      <c r="Q14" s="408"/>
      <c r="R14" s="125"/>
      <c r="S14" s="408"/>
      <c r="T14" s="408"/>
      <c r="V14" s="465">
        <f t="shared" si="3"/>
        <v>0</v>
      </c>
    </row>
    <row r="15" spans="1:209" s="8" customFormat="1" x14ac:dyDescent="0.25">
      <c r="A15" s="272"/>
      <c r="B15" s="58" t="s">
        <v>414</v>
      </c>
      <c r="C15" s="427">
        <f t="shared" si="0"/>
        <v>0</v>
      </c>
      <c r="D15" s="409"/>
      <c r="E15" s="409"/>
      <c r="F15" s="412"/>
      <c r="G15" s="408"/>
      <c r="H15" s="409"/>
      <c r="I15" s="427">
        <f t="shared" si="1"/>
        <v>570</v>
      </c>
      <c r="J15" s="408"/>
      <c r="K15" s="408"/>
      <c r="L15" s="125">
        <v>570</v>
      </c>
      <c r="M15" s="408"/>
      <c r="N15" s="408"/>
      <c r="O15" s="427">
        <f t="shared" si="2"/>
        <v>570</v>
      </c>
      <c r="P15" s="408"/>
      <c r="Q15" s="408"/>
      <c r="R15" s="125">
        <v>570</v>
      </c>
      <c r="S15" s="408"/>
      <c r="T15" s="408"/>
      <c r="U15" s="8">
        <v>570</v>
      </c>
      <c r="V15" s="465">
        <f t="shared" si="3"/>
        <v>0</v>
      </c>
    </row>
    <row r="16" spans="1:209" s="8" customFormat="1" ht="31.5" x14ac:dyDescent="0.25">
      <c r="A16" s="272"/>
      <c r="B16" s="57" t="s">
        <v>870</v>
      </c>
      <c r="C16" s="124">
        <f t="shared" si="0"/>
        <v>1826</v>
      </c>
      <c r="D16" s="407"/>
      <c r="E16" s="407"/>
      <c r="F16" s="407">
        <f>SUM(F17:F17)</f>
        <v>1826</v>
      </c>
      <c r="G16" s="407"/>
      <c r="H16" s="407"/>
      <c r="I16" s="124">
        <f t="shared" si="1"/>
        <v>2827.2176199999999</v>
      </c>
      <c r="J16" s="407"/>
      <c r="K16" s="407"/>
      <c r="L16" s="407">
        <f>SUM(L17:L19)</f>
        <v>2827.2176199999999</v>
      </c>
      <c r="M16" s="407"/>
      <c r="N16" s="407"/>
      <c r="O16" s="124">
        <f t="shared" si="2"/>
        <v>2536.8313200000002</v>
      </c>
      <c r="P16" s="407"/>
      <c r="Q16" s="407"/>
      <c r="R16" s="407">
        <f>SUM(R17:R19)</f>
        <v>2536.8313200000002</v>
      </c>
      <c r="S16" s="407"/>
      <c r="T16" s="407"/>
      <c r="U16" s="407">
        <f>U17</f>
        <v>3338.72</v>
      </c>
      <c r="V16" s="465">
        <f t="shared" si="3"/>
        <v>290.38629999999966</v>
      </c>
    </row>
    <row r="17" spans="1:209" s="8" customFormat="1" x14ac:dyDescent="0.25">
      <c r="A17" s="272"/>
      <c r="B17" s="58" t="s">
        <v>193</v>
      </c>
      <c r="C17" s="427">
        <f>SUM(D17:H17)</f>
        <v>1826</v>
      </c>
      <c r="D17" s="408"/>
      <c r="E17" s="408"/>
      <c r="F17" s="409">
        <v>1826</v>
      </c>
      <c r="G17" s="408"/>
      <c r="H17" s="408"/>
      <c r="I17" s="427">
        <f t="shared" si="1"/>
        <v>1530.2176199999999</v>
      </c>
      <c r="J17" s="125"/>
      <c r="K17" s="125"/>
      <c r="L17" s="125">
        <f>1331.66762+40+158.55</f>
        <v>1530.2176199999999</v>
      </c>
      <c r="M17" s="125"/>
      <c r="N17" s="408"/>
      <c r="O17" s="427">
        <f t="shared" si="2"/>
        <v>1239.83132</v>
      </c>
      <c r="P17" s="125"/>
      <c r="Q17" s="125"/>
      <c r="R17" s="125">
        <f>1115.94497+36.32135+40+47.565</f>
        <v>1239.83132</v>
      </c>
      <c r="S17" s="125"/>
      <c r="T17" s="125"/>
      <c r="U17" s="8">
        <v>3338.72</v>
      </c>
      <c r="V17" s="465">
        <f t="shared" si="3"/>
        <v>290.38629999999989</v>
      </c>
    </row>
    <row r="18" spans="1:209" s="8" customFormat="1" x14ac:dyDescent="0.25">
      <c r="A18" s="272"/>
      <c r="B18" s="58" t="s">
        <v>872</v>
      </c>
      <c r="C18" s="427"/>
      <c r="D18" s="408"/>
      <c r="E18" s="408"/>
      <c r="F18" s="409"/>
      <c r="G18" s="408"/>
      <c r="H18" s="408"/>
      <c r="I18" s="427">
        <f t="shared" si="1"/>
        <v>347</v>
      </c>
      <c r="J18" s="125"/>
      <c r="K18" s="125"/>
      <c r="L18" s="125">
        <v>347</v>
      </c>
      <c r="M18" s="125"/>
      <c r="N18" s="408"/>
      <c r="O18" s="427">
        <f t="shared" si="2"/>
        <v>347</v>
      </c>
      <c r="P18" s="125"/>
      <c r="Q18" s="125"/>
      <c r="R18" s="125">
        <v>347</v>
      </c>
      <c r="S18" s="125"/>
      <c r="T18" s="125"/>
    </row>
    <row r="19" spans="1:209" s="8" customFormat="1" x14ac:dyDescent="0.25">
      <c r="A19" s="272"/>
      <c r="B19" s="58" t="s">
        <v>871</v>
      </c>
      <c r="C19" s="427"/>
      <c r="D19" s="408"/>
      <c r="E19" s="408"/>
      <c r="F19" s="409"/>
      <c r="G19" s="408"/>
      <c r="H19" s="408"/>
      <c r="I19" s="427">
        <f t="shared" si="1"/>
        <v>950</v>
      </c>
      <c r="J19" s="125"/>
      <c r="K19" s="125"/>
      <c r="L19" s="125">
        <v>950</v>
      </c>
      <c r="M19" s="125"/>
      <c r="N19" s="408"/>
      <c r="O19" s="427">
        <f t="shared" si="2"/>
        <v>950</v>
      </c>
      <c r="P19" s="125"/>
      <c r="Q19" s="125"/>
      <c r="R19" s="125">
        <v>950</v>
      </c>
      <c r="S19" s="125"/>
      <c r="T19" s="125"/>
    </row>
    <row r="20" spans="1:209" s="283" customFormat="1" ht="47.25" x14ac:dyDescent="0.3">
      <c r="A20" s="551">
        <v>2</v>
      </c>
      <c r="B20" s="79" t="s">
        <v>1165</v>
      </c>
      <c r="C20" s="149">
        <f t="shared" ref="C20:C26" si="6">SUM(D20:H20)</f>
        <v>14129.21</v>
      </c>
      <c r="D20" s="149">
        <f>SUM(D21:D23)</f>
        <v>0</v>
      </c>
      <c r="E20" s="149">
        <f>SUM(E21:E23)</f>
        <v>0</v>
      </c>
      <c r="F20" s="149">
        <f>SUM(F21:F23)</f>
        <v>14129.21</v>
      </c>
      <c r="G20" s="149">
        <f>SUM(G21:G23)</f>
        <v>0</v>
      </c>
      <c r="H20" s="149">
        <f>SUM(H21:H23)</f>
        <v>0</v>
      </c>
      <c r="I20" s="149">
        <f>SUM(J20:N20)</f>
        <v>35967.82</v>
      </c>
      <c r="J20" s="149">
        <f t="shared" ref="J20:S20" si="7">SUM(J21:J23)</f>
        <v>0</v>
      </c>
      <c r="K20" s="149">
        <f t="shared" si="7"/>
        <v>17710.66</v>
      </c>
      <c r="L20" s="149">
        <f t="shared" si="7"/>
        <v>18257.16</v>
      </c>
      <c r="M20" s="149">
        <f t="shared" si="7"/>
        <v>0</v>
      </c>
      <c r="N20" s="149">
        <f t="shared" si="7"/>
        <v>0</v>
      </c>
      <c r="O20" s="149">
        <f>SUM(P20:T20)</f>
        <v>33636.089999999997</v>
      </c>
      <c r="P20" s="149">
        <f t="shared" si="7"/>
        <v>0</v>
      </c>
      <c r="Q20" s="149">
        <f t="shared" si="7"/>
        <v>17710.66</v>
      </c>
      <c r="R20" s="149">
        <f t="shared" si="7"/>
        <v>15925.43</v>
      </c>
      <c r="S20" s="149">
        <f t="shared" si="7"/>
        <v>0</v>
      </c>
      <c r="T20" s="150">
        <v>0</v>
      </c>
      <c r="U20" s="413">
        <f>SUM(U21:U23)</f>
        <v>14168.939999999999</v>
      </c>
      <c r="V20" s="735">
        <f>O20/I20*100</f>
        <v>93.517177299041194</v>
      </c>
      <c r="W20" s="734"/>
      <c r="X20" s="739"/>
      <c r="Y20" s="736"/>
      <c r="Z20" s="736"/>
      <c r="AA20" s="734"/>
      <c r="AB20" s="734"/>
      <c r="AC20" s="734"/>
      <c r="AD20" s="734">
        <f>L20/I20*100</f>
        <v>50.75970687130885</v>
      </c>
      <c r="AE20" s="734"/>
      <c r="AF20" s="734"/>
      <c r="AG20" s="734"/>
      <c r="AH20" s="734"/>
      <c r="AI20" s="734"/>
      <c r="AJ20" s="734"/>
      <c r="AK20" s="734"/>
      <c r="AL20" s="734"/>
      <c r="AM20" s="734"/>
      <c r="AN20" s="734"/>
      <c r="AO20" s="734"/>
      <c r="AP20" s="734"/>
      <c r="AQ20" s="734"/>
      <c r="AR20" s="734"/>
      <c r="AS20" s="734"/>
      <c r="AT20" s="734"/>
      <c r="AU20" s="734"/>
      <c r="AV20" s="734"/>
      <c r="AW20" s="734"/>
      <c r="AX20" s="734"/>
      <c r="AY20" s="734"/>
      <c r="AZ20" s="734"/>
      <c r="BA20" s="734"/>
      <c r="BB20" s="734"/>
      <c r="BC20" s="734"/>
      <c r="BD20" s="734"/>
      <c r="BE20" s="734"/>
      <c r="BF20" s="734"/>
      <c r="BG20" s="734"/>
      <c r="BH20" s="734"/>
      <c r="BI20" s="734"/>
      <c r="BJ20" s="734"/>
      <c r="BK20" s="734"/>
      <c r="BL20" s="734"/>
      <c r="BM20" s="734"/>
      <c r="BN20" s="734"/>
      <c r="BO20" s="734"/>
      <c r="BP20" s="734"/>
      <c r="BQ20" s="734"/>
      <c r="BR20" s="734"/>
      <c r="BS20" s="734"/>
      <c r="BT20" s="734"/>
      <c r="BU20" s="734"/>
      <c r="BV20" s="734"/>
      <c r="BW20" s="734"/>
      <c r="BX20" s="734"/>
      <c r="BY20" s="734"/>
      <c r="BZ20" s="734"/>
      <c r="CA20" s="734"/>
      <c r="CB20" s="734"/>
      <c r="CC20" s="734"/>
      <c r="CD20" s="734"/>
      <c r="CE20" s="734"/>
      <c r="CF20" s="734"/>
      <c r="CG20" s="734"/>
      <c r="CH20" s="734"/>
      <c r="CI20" s="734"/>
      <c r="CJ20" s="734"/>
      <c r="CK20" s="734"/>
      <c r="CL20" s="734"/>
      <c r="CM20" s="734"/>
      <c r="CN20" s="734"/>
      <c r="CO20" s="734"/>
      <c r="CP20" s="734"/>
      <c r="CQ20" s="734"/>
      <c r="CR20" s="734"/>
      <c r="CS20" s="734"/>
      <c r="CT20" s="734"/>
      <c r="CU20" s="734"/>
      <c r="CV20" s="734"/>
      <c r="CW20" s="734"/>
      <c r="CX20" s="734"/>
      <c r="CY20" s="734"/>
      <c r="CZ20" s="734"/>
      <c r="DA20" s="734"/>
      <c r="DB20" s="734"/>
      <c r="DC20" s="734"/>
      <c r="DD20" s="734"/>
      <c r="DE20" s="734"/>
      <c r="DF20" s="734"/>
      <c r="DG20" s="734"/>
      <c r="DH20" s="734"/>
      <c r="DI20" s="734"/>
      <c r="DJ20" s="734"/>
      <c r="DK20" s="734"/>
      <c r="DL20" s="734"/>
      <c r="DM20" s="734"/>
      <c r="DN20" s="734"/>
      <c r="DO20" s="734"/>
      <c r="DP20" s="734"/>
      <c r="DQ20" s="734"/>
      <c r="DR20" s="734"/>
      <c r="DS20" s="734"/>
      <c r="DT20" s="734"/>
      <c r="DU20" s="734"/>
      <c r="DV20" s="734"/>
      <c r="DW20" s="734"/>
      <c r="DX20" s="734"/>
      <c r="DY20" s="734"/>
      <c r="DZ20" s="734"/>
      <c r="EA20" s="734"/>
      <c r="EB20" s="734"/>
      <c r="EC20" s="734"/>
      <c r="ED20" s="734"/>
      <c r="EE20" s="734"/>
      <c r="EF20" s="734"/>
      <c r="EG20" s="734"/>
      <c r="EH20" s="734"/>
      <c r="EI20" s="734"/>
      <c r="EJ20" s="734"/>
      <c r="EK20" s="734"/>
      <c r="EL20" s="734"/>
      <c r="EM20" s="734"/>
      <c r="EN20" s="734"/>
      <c r="EO20" s="734"/>
      <c r="EP20" s="734"/>
      <c r="EQ20" s="734"/>
      <c r="ER20" s="734"/>
      <c r="ES20" s="734"/>
      <c r="ET20" s="734"/>
      <c r="EU20" s="734"/>
      <c r="EV20" s="734"/>
      <c r="EW20" s="734"/>
      <c r="EX20" s="734"/>
      <c r="EY20" s="734"/>
      <c r="EZ20" s="734"/>
      <c r="FA20" s="734"/>
      <c r="FB20" s="734"/>
      <c r="FC20" s="734"/>
      <c r="FD20" s="734"/>
      <c r="FE20" s="734"/>
      <c r="FF20" s="734"/>
      <c r="FG20" s="734"/>
      <c r="FH20" s="734"/>
      <c r="FI20" s="734"/>
      <c r="FJ20" s="734"/>
      <c r="FK20" s="734"/>
      <c r="FL20" s="734"/>
      <c r="FM20" s="734"/>
      <c r="FN20" s="734"/>
      <c r="FO20" s="734"/>
      <c r="FP20" s="734"/>
      <c r="FQ20" s="734"/>
      <c r="FR20" s="734"/>
      <c r="FS20" s="734"/>
      <c r="FT20" s="734"/>
      <c r="FU20" s="734"/>
      <c r="FV20" s="734"/>
      <c r="FW20" s="734"/>
      <c r="FX20" s="734"/>
      <c r="FY20" s="734"/>
      <c r="FZ20" s="734"/>
      <c r="GA20" s="734"/>
      <c r="GB20" s="734"/>
      <c r="GC20" s="734"/>
      <c r="GD20" s="734"/>
      <c r="GE20" s="734"/>
      <c r="GF20" s="734"/>
      <c r="GG20" s="734"/>
      <c r="GH20" s="734"/>
      <c r="GI20" s="734"/>
      <c r="GJ20" s="734"/>
      <c r="GK20" s="734"/>
      <c r="GL20" s="734"/>
      <c r="GM20" s="734"/>
      <c r="GN20" s="734"/>
      <c r="GO20" s="734"/>
      <c r="GP20" s="734"/>
      <c r="GQ20" s="734"/>
      <c r="GR20" s="734"/>
      <c r="GS20" s="734"/>
      <c r="GT20" s="734"/>
      <c r="GU20" s="734"/>
      <c r="GV20" s="734"/>
      <c r="GW20" s="734"/>
      <c r="GX20" s="734"/>
      <c r="GY20" s="734"/>
      <c r="GZ20" s="734"/>
      <c r="HA20" s="734"/>
    </row>
    <row r="21" spans="1:209" s="8" customFormat="1" ht="47.25" x14ac:dyDescent="0.25">
      <c r="A21" s="272" t="s">
        <v>721</v>
      </c>
      <c r="B21" s="335" t="s">
        <v>759</v>
      </c>
      <c r="C21" s="124">
        <f t="shared" si="6"/>
        <v>4330.87</v>
      </c>
      <c r="D21" s="129"/>
      <c r="E21" s="126"/>
      <c r="F21" s="130">
        <v>4330.87</v>
      </c>
      <c r="G21" s="129"/>
      <c r="H21" s="129"/>
      <c r="I21" s="124">
        <f>SUM(J21:N21)</f>
        <v>4596.5200000000004</v>
      </c>
      <c r="J21" s="129"/>
      <c r="K21" s="129"/>
      <c r="L21" s="129">
        <f>4296.52+300</f>
        <v>4596.5200000000004</v>
      </c>
      <c r="M21" s="129"/>
      <c r="N21" s="129"/>
      <c r="O21" s="124">
        <f>SUM(P21:T21)</f>
        <v>4596.5200000000004</v>
      </c>
      <c r="P21" s="129"/>
      <c r="Q21" s="129"/>
      <c r="R21" s="126">
        <f>4296.52+300</f>
        <v>4596.5200000000004</v>
      </c>
      <c r="S21" s="129"/>
      <c r="T21" s="125"/>
      <c r="U21" s="8">
        <f>3021.64+300</f>
        <v>3321.64</v>
      </c>
    </row>
    <row r="22" spans="1:209" s="8" customFormat="1" ht="31.5" x14ac:dyDescent="0.25">
      <c r="A22" s="272" t="s">
        <v>724</v>
      </c>
      <c r="B22" s="157" t="s">
        <v>415</v>
      </c>
      <c r="C22" s="124">
        <f t="shared" si="6"/>
        <v>1951.85</v>
      </c>
      <c r="D22" s="125"/>
      <c r="E22" s="125"/>
      <c r="F22" s="130">
        <v>1951.85</v>
      </c>
      <c r="G22" s="129"/>
      <c r="H22" s="129"/>
      <c r="I22" s="124">
        <f>SUM(J22:N22)</f>
        <v>17163.560000000001</v>
      </c>
      <c r="J22" s="125"/>
      <c r="K22" s="129">
        <v>10766.6</v>
      </c>
      <c r="L22" s="414">
        <v>6396.96</v>
      </c>
      <c r="M22" s="129"/>
      <c r="N22" s="129"/>
      <c r="O22" s="124">
        <f>SUM(P22:T22)</f>
        <v>17163.560000000001</v>
      </c>
      <c r="P22" s="125"/>
      <c r="Q22" s="129">
        <v>10766.6</v>
      </c>
      <c r="R22" s="126">
        <v>6396.96</v>
      </c>
      <c r="S22" s="129"/>
      <c r="T22" s="125"/>
      <c r="U22" s="8">
        <v>6058.4</v>
      </c>
    </row>
    <row r="23" spans="1:209" s="415" customFormat="1" ht="31.5" x14ac:dyDescent="0.25">
      <c r="A23" s="278" t="s">
        <v>725</v>
      </c>
      <c r="B23" s="17" t="s">
        <v>760</v>
      </c>
      <c r="C23" s="124">
        <f t="shared" si="6"/>
        <v>7846.49</v>
      </c>
      <c r="D23" s="125"/>
      <c r="E23" s="130"/>
      <c r="F23" s="129">
        <v>7846.49</v>
      </c>
      <c r="G23" s="129"/>
      <c r="H23" s="129"/>
      <c r="I23" s="124">
        <f>SUM(J23:N23)</f>
        <v>14207.740000000002</v>
      </c>
      <c r="J23" s="125"/>
      <c r="K23" s="129">
        <v>6944.06</v>
      </c>
      <c r="L23" s="414">
        <v>7263.68</v>
      </c>
      <c r="M23" s="129"/>
      <c r="N23" s="129"/>
      <c r="O23" s="124">
        <f>SUM(P23:T23)</f>
        <v>11876.01</v>
      </c>
      <c r="P23" s="129"/>
      <c r="Q23" s="129">
        <v>6944.06</v>
      </c>
      <c r="R23" s="126">
        <v>4931.95</v>
      </c>
      <c r="S23" s="129"/>
      <c r="T23" s="125"/>
      <c r="U23" s="415">
        <v>4788.8999999999996</v>
      </c>
    </row>
    <row r="24" spans="1:209" s="283" customFormat="1" ht="47.25" x14ac:dyDescent="0.3">
      <c r="A24" s="551">
        <v>3</v>
      </c>
      <c r="B24" s="80" t="s">
        <v>1200</v>
      </c>
      <c r="C24" s="149">
        <f t="shared" si="6"/>
        <v>25</v>
      </c>
      <c r="D24" s="127">
        <f t="shared" ref="D24:T24" si="8">SUM(D25+D27+D30+D32)</f>
        <v>0</v>
      </c>
      <c r="E24" s="127">
        <f t="shared" si="8"/>
        <v>0</v>
      </c>
      <c r="F24" s="127">
        <f t="shared" si="8"/>
        <v>25</v>
      </c>
      <c r="G24" s="127">
        <f t="shared" si="8"/>
        <v>0</v>
      </c>
      <c r="H24" s="127">
        <f>SUM(H25+H27+H30+H32)</f>
        <v>0</v>
      </c>
      <c r="I24" s="127">
        <f t="shared" si="8"/>
        <v>25</v>
      </c>
      <c r="J24" s="127">
        <f t="shared" si="8"/>
        <v>0</v>
      </c>
      <c r="K24" s="127">
        <f t="shared" si="8"/>
        <v>0</v>
      </c>
      <c r="L24" s="127">
        <f t="shared" si="8"/>
        <v>25</v>
      </c>
      <c r="M24" s="127">
        <f t="shared" si="8"/>
        <v>0</v>
      </c>
      <c r="N24" s="127">
        <f t="shared" si="8"/>
        <v>0</v>
      </c>
      <c r="O24" s="127">
        <f t="shared" si="8"/>
        <v>25</v>
      </c>
      <c r="P24" s="127">
        <f t="shared" si="8"/>
        <v>0</v>
      </c>
      <c r="Q24" s="127">
        <f t="shared" si="8"/>
        <v>0</v>
      </c>
      <c r="R24" s="127">
        <f t="shared" si="8"/>
        <v>25</v>
      </c>
      <c r="S24" s="127">
        <f t="shared" si="8"/>
        <v>0</v>
      </c>
      <c r="T24" s="127">
        <f t="shared" si="8"/>
        <v>0</v>
      </c>
      <c r="U24" s="127">
        <f>SUM(U25+U27+U30+U32)</f>
        <v>7214.5999999999995</v>
      </c>
      <c r="V24" s="735">
        <f>O24/I24*100</f>
        <v>100</v>
      </c>
      <c r="W24" s="734"/>
      <c r="X24" s="739"/>
      <c r="Y24" s="736"/>
      <c r="Z24" s="736"/>
      <c r="AA24" s="734"/>
      <c r="AB24" s="734"/>
      <c r="AC24" s="734"/>
      <c r="AD24" s="734"/>
      <c r="AE24" s="734"/>
      <c r="AF24" s="734"/>
      <c r="AG24" s="734"/>
      <c r="AH24" s="734"/>
      <c r="AI24" s="734"/>
      <c r="AJ24" s="734"/>
      <c r="AK24" s="734"/>
      <c r="AL24" s="734"/>
      <c r="AM24" s="734"/>
      <c r="AN24" s="734"/>
      <c r="AO24" s="734"/>
      <c r="AP24" s="734"/>
      <c r="AQ24" s="734"/>
      <c r="AR24" s="734"/>
      <c r="AS24" s="734"/>
      <c r="AT24" s="734"/>
      <c r="AU24" s="734"/>
      <c r="AV24" s="734"/>
      <c r="AW24" s="734"/>
      <c r="AX24" s="734"/>
      <c r="AY24" s="734"/>
      <c r="AZ24" s="734"/>
      <c r="BA24" s="734"/>
      <c r="BB24" s="734"/>
      <c r="BC24" s="734"/>
      <c r="BD24" s="734"/>
      <c r="BE24" s="734"/>
      <c r="BF24" s="734"/>
      <c r="BG24" s="734"/>
      <c r="BH24" s="734"/>
      <c r="BI24" s="734"/>
      <c r="BJ24" s="734"/>
      <c r="BK24" s="734"/>
      <c r="BL24" s="734"/>
      <c r="BM24" s="734"/>
      <c r="BN24" s="734"/>
      <c r="BO24" s="734"/>
      <c r="BP24" s="734"/>
      <c r="BQ24" s="734"/>
      <c r="BR24" s="734"/>
      <c r="BS24" s="734"/>
      <c r="BT24" s="734"/>
      <c r="BU24" s="734"/>
      <c r="BV24" s="734"/>
      <c r="BW24" s="734"/>
      <c r="BX24" s="734"/>
      <c r="BY24" s="734"/>
      <c r="BZ24" s="734"/>
      <c r="CA24" s="734"/>
      <c r="CB24" s="734"/>
      <c r="CC24" s="734"/>
      <c r="CD24" s="734"/>
      <c r="CE24" s="734"/>
      <c r="CF24" s="734"/>
      <c r="CG24" s="734"/>
      <c r="CH24" s="734"/>
      <c r="CI24" s="734"/>
      <c r="CJ24" s="734"/>
      <c r="CK24" s="734"/>
      <c r="CL24" s="734"/>
      <c r="CM24" s="734"/>
      <c r="CN24" s="734"/>
      <c r="CO24" s="734"/>
      <c r="CP24" s="734"/>
      <c r="CQ24" s="734"/>
      <c r="CR24" s="734"/>
      <c r="CS24" s="734"/>
      <c r="CT24" s="734"/>
      <c r="CU24" s="734"/>
      <c r="CV24" s="734"/>
      <c r="CW24" s="734"/>
      <c r="CX24" s="734"/>
      <c r="CY24" s="734"/>
      <c r="CZ24" s="734"/>
      <c r="DA24" s="734"/>
      <c r="DB24" s="734"/>
      <c r="DC24" s="734"/>
      <c r="DD24" s="734"/>
      <c r="DE24" s="734"/>
      <c r="DF24" s="734"/>
      <c r="DG24" s="734"/>
      <c r="DH24" s="734"/>
      <c r="DI24" s="734"/>
      <c r="DJ24" s="734"/>
      <c r="DK24" s="734"/>
      <c r="DL24" s="734"/>
      <c r="DM24" s="734"/>
      <c r="DN24" s="734"/>
      <c r="DO24" s="734"/>
      <c r="DP24" s="734"/>
      <c r="DQ24" s="734"/>
      <c r="DR24" s="734"/>
      <c r="DS24" s="734"/>
      <c r="DT24" s="734"/>
      <c r="DU24" s="734"/>
      <c r="DV24" s="734"/>
      <c r="DW24" s="734"/>
      <c r="DX24" s="734"/>
      <c r="DY24" s="734"/>
      <c r="DZ24" s="734"/>
      <c r="EA24" s="734"/>
      <c r="EB24" s="734"/>
      <c r="EC24" s="734"/>
      <c r="ED24" s="734"/>
      <c r="EE24" s="734"/>
      <c r="EF24" s="734"/>
      <c r="EG24" s="734"/>
      <c r="EH24" s="734"/>
      <c r="EI24" s="734"/>
      <c r="EJ24" s="734"/>
      <c r="EK24" s="734"/>
      <c r="EL24" s="734"/>
      <c r="EM24" s="734"/>
      <c r="EN24" s="734"/>
      <c r="EO24" s="734"/>
      <c r="EP24" s="734"/>
      <c r="EQ24" s="734"/>
      <c r="ER24" s="734"/>
      <c r="ES24" s="734"/>
      <c r="ET24" s="734"/>
      <c r="EU24" s="734"/>
      <c r="EV24" s="734"/>
      <c r="EW24" s="734"/>
      <c r="EX24" s="734"/>
      <c r="EY24" s="734"/>
      <c r="EZ24" s="734"/>
      <c r="FA24" s="734"/>
      <c r="FB24" s="734"/>
      <c r="FC24" s="734"/>
      <c r="FD24" s="734"/>
      <c r="FE24" s="734"/>
      <c r="FF24" s="734"/>
      <c r="FG24" s="734"/>
      <c r="FH24" s="734"/>
      <c r="FI24" s="734"/>
      <c r="FJ24" s="734"/>
      <c r="FK24" s="734"/>
      <c r="FL24" s="734"/>
      <c r="FM24" s="734"/>
      <c r="FN24" s="734"/>
      <c r="FO24" s="734"/>
      <c r="FP24" s="734"/>
      <c r="FQ24" s="734"/>
      <c r="FR24" s="734"/>
      <c r="FS24" s="734"/>
      <c r="FT24" s="734"/>
      <c r="FU24" s="734"/>
      <c r="FV24" s="734"/>
      <c r="FW24" s="734"/>
      <c r="FX24" s="734"/>
      <c r="FY24" s="734"/>
      <c r="FZ24" s="734"/>
      <c r="GA24" s="734"/>
      <c r="GB24" s="734"/>
      <c r="GC24" s="734"/>
      <c r="GD24" s="734"/>
      <c r="GE24" s="734"/>
      <c r="GF24" s="734"/>
      <c r="GG24" s="734"/>
      <c r="GH24" s="734"/>
      <c r="GI24" s="734"/>
      <c r="GJ24" s="734"/>
      <c r="GK24" s="734"/>
      <c r="GL24" s="734"/>
      <c r="GM24" s="734"/>
      <c r="GN24" s="734"/>
      <c r="GO24" s="734"/>
      <c r="GP24" s="734"/>
      <c r="GQ24" s="734"/>
      <c r="GR24" s="734"/>
      <c r="GS24" s="734"/>
      <c r="GT24" s="734"/>
      <c r="GU24" s="734"/>
      <c r="GV24" s="734"/>
      <c r="GW24" s="734"/>
      <c r="GX24" s="734"/>
      <c r="GY24" s="734"/>
      <c r="GZ24" s="734"/>
      <c r="HA24" s="734"/>
    </row>
    <row r="25" spans="1:209" s="8" customFormat="1" ht="63" hidden="1" x14ac:dyDescent="0.25">
      <c r="A25" s="272"/>
      <c r="B25" s="316" t="s">
        <v>417</v>
      </c>
      <c r="C25" s="416">
        <f t="shared" si="6"/>
        <v>0</v>
      </c>
      <c r="D25" s="417">
        <f>SUM(D26:D26)</f>
        <v>0</v>
      </c>
      <c r="E25" s="417">
        <f>SUM(E26:E26)</f>
        <v>0</v>
      </c>
      <c r="F25" s="417">
        <f>SUM(F26:F26)</f>
        <v>0</v>
      </c>
      <c r="G25" s="417">
        <f>SUM(G26:G26)</f>
        <v>0</v>
      </c>
      <c r="H25" s="417">
        <f>SUM(H26:H26)</f>
        <v>0</v>
      </c>
      <c r="I25" s="416">
        <f t="shared" ref="I25:I52" si="9">SUM(J25:N25)</f>
        <v>0</v>
      </c>
      <c r="J25" s="125"/>
      <c r="K25" s="125"/>
      <c r="L25" s="417">
        <f>SUM(L26:L26)</f>
        <v>0</v>
      </c>
      <c r="M25" s="417">
        <f>SUM(M26:M26)</f>
        <v>0</v>
      </c>
      <c r="N25" s="417">
        <f>SUM(N26:N26)</f>
        <v>0</v>
      </c>
      <c r="O25" s="416">
        <f t="shared" ref="O25:O37" si="10">SUM(P25:T25)</f>
        <v>0</v>
      </c>
      <c r="P25" s="125"/>
      <c r="Q25" s="125"/>
      <c r="R25" s="417">
        <f>SUM(R26:R26)</f>
        <v>0</v>
      </c>
      <c r="S25" s="417">
        <f>SUM(S26:S26)</f>
        <v>0</v>
      </c>
      <c r="T25" s="417">
        <f>SUM(T26:T26)</f>
        <v>0</v>
      </c>
      <c r="U25" s="417">
        <f>SUM(U26:U26)</f>
        <v>70</v>
      </c>
    </row>
    <row r="26" spans="1:209" s="8" customFormat="1" ht="63" hidden="1" x14ac:dyDescent="0.25">
      <c r="A26" s="272"/>
      <c r="B26" s="418" t="s">
        <v>418</v>
      </c>
      <c r="C26" s="124">
        <f t="shared" si="6"/>
        <v>0</v>
      </c>
      <c r="D26" s="407"/>
      <c r="E26" s="407"/>
      <c r="F26" s="408"/>
      <c r="G26" s="408"/>
      <c r="H26" s="419"/>
      <c r="I26" s="416">
        <f t="shared" si="9"/>
        <v>0</v>
      </c>
      <c r="J26" s="125"/>
      <c r="K26" s="125"/>
      <c r="L26" s="408"/>
      <c r="M26" s="408"/>
      <c r="N26" s="419"/>
      <c r="O26" s="416">
        <f t="shared" si="10"/>
        <v>0</v>
      </c>
      <c r="P26" s="125"/>
      <c r="Q26" s="125"/>
      <c r="R26" s="125"/>
      <c r="S26" s="125"/>
      <c r="T26" s="125"/>
      <c r="U26" s="8">
        <v>70</v>
      </c>
    </row>
    <row r="27" spans="1:209" s="8" customFormat="1" ht="31.5" x14ac:dyDescent="0.25">
      <c r="A27" s="272"/>
      <c r="B27" s="316" t="s">
        <v>419</v>
      </c>
      <c r="C27" s="124">
        <f t="shared" ref="C27:C35" si="11">SUM(D27:H27)</f>
        <v>25</v>
      </c>
      <c r="D27" s="407">
        <f>SUM(D28:D29)</f>
        <v>0</v>
      </c>
      <c r="E27" s="407">
        <f>SUM(E28:E29)</f>
        <v>0</v>
      </c>
      <c r="F27" s="407">
        <f>SUM(F28:F29)</f>
        <v>25</v>
      </c>
      <c r="G27" s="407">
        <f>SUM(G28:G29)</f>
        <v>0</v>
      </c>
      <c r="H27" s="407">
        <f>SUM(H28:H29)</f>
        <v>0</v>
      </c>
      <c r="I27" s="416">
        <f t="shared" si="9"/>
        <v>25</v>
      </c>
      <c r="J27" s="125"/>
      <c r="K27" s="125"/>
      <c r="L27" s="407">
        <f>SUM(L28:L29)</f>
        <v>25</v>
      </c>
      <c r="M27" s="407">
        <f>SUM(M28:M29)</f>
        <v>0</v>
      </c>
      <c r="N27" s="407">
        <f>SUM(N28:N29)</f>
        <v>0</v>
      </c>
      <c r="O27" s="416">
        <f t="shared" si="10"/>
        <v>25</v>
      </c>
      <c r="P27" s="125"/>
      <c r="Q27" s="125"/>
      <c r="R27" s="407">
        <f>SUM(R28:R29)</f>
        <v>25</v>
      </c>
      <c r="S27" s="125"/>
      <c r="T27" s="407">
        <f>SUM(T28:T29)</f>
        <v>0</v>
      </c>
      <c r="U27" s="407">
        <f>SUM(U28:U29)</f>
        <v>224</v>
      </c>
    </row>
    <row r="28" spans="1:209" s="8" customFormat="1" ht="78.75" x14ac:dyDescent="0.25">
      <c r="A28" s="272"/>
      <c r="B28" s="334" t="s">
        <v>420</v>
      </c>
      <c r="C28" s="124">
        <f t="shared" si="11"/>
        <v>5</v>
      </c>
      <c r="D28" s="407"/>
      <c r="E28" s="407"/>
      <c r="F28" s="129">
        <v>5</v>
      </c>
      <c r="G28" s="407"/>
      <c r="H28" s="407"/>
      <c r="I28" s="416">
        <f t="shared" si="9"/>
        <v>5</v>
      </c>
      <c r="J28" s="125"/>
      <c r="K28" s="125"/>
      <c r="L28" s="129">
        <v>5</v>
      </c>
      <c r="M28" s="407"/>
      <c r="N28" s="407"/>
      <c r="O28" s="416">
        <f t="shared" si="10"/>
        <v>5</v>
      </c>
      <c r="P28" s="125"/>
      <c r="Q28" s="125"/>
      <c r="R28" s="125">
        <v>5</v>
      </c>
      <c r="S28" s="125"/>
      <c r="T28" s="125"/>
      <c r="U28" s="8">
        <v>5</v>
      </c>
    </row>
    <row r="29" spans="1:209" s="8" customFormat="1" ht="63" x14ac:dyDescent="0.25">
      <c r="A29" s="272"/>
      <c r="B29" s="344" t="s">
        <v>421</v>
      </c>
      <c r="C29" s="124">
        <f t="shared" si="11"/>
        <v>20</v>
      </c>
      <c r="D29" s="407"/>
      <c r="E29" s="407"/>
      <c r="F29" s="129">
        <v>20</v>
      </c>
      <c r="G29" s="407"/>
      <c r="H29" s="407"/>
      <c r="I29" s="416">
        <f t="shared" si="9"/>
        <v>20</v>
      </c>
      <c r="J29" s="125"/>
      <c r="K29" s="125"/>
      <c r="L29" s="129">
        <v>20</v>
      </c>
      <c r="M29" s="407"/>
      <c r="N29" s="408"/>
      <c r="O29" s="416">
        <f t="shared" si="10"/>
        <v>20</v>
      </c>
      <c r="P29" s="125"/>
      <c r="Q29" s="125"/>
      <c r="R29" s="125">
        <v>20</v>
      </c>
      <c r="S29" s="125"/>
      <c r="T29" s="125"/>
      <c r="U29" s="8">
        <f>20+199</f>
        <v>219</v>
      </c>
    </row>
    <row r="30" spans="1:209" s="8" customFormat="1" ht="31.5" hidden="1" x14ac:dyDescent="0.25">
      <c r="A30" s="272"/>
      <c r="B30" s="316" t="s">
        <v>289</v>
      </c>
      <c r="C30" s="124">
        <f t="shared" si="11"/>
        <v>0</v>
      </c>
      <c r="D30" s="417">
        <f>SUM(D31:D31)</f>
        <v>0</v>
      </c>
      <c r="E30" s="417">
        <f>SUM(E31:E31)</f>
        <v>0</v>
      </c>
      <c r="F30" s="417">
        <f>SUM(F31:F31)</f>
        <v>0</v>
      </c>
      <c r="G30" s="417">
        <f>SUM(G31:G31)</f>
        <v>0</v>
      </c>
      <c r="H30" s="417">
        <f>SUM(H31:H31)</f>
        <v>0</v>
      </c>
      <c r="I30" s="416">
        <f t="shared" si="9"/>
        <v>0</v>
      </c>
      <c r="J30" s="125"/>
      <c r="K30" s="125"/>
      <c r="L30" s="417">
        <f>SUM(L31:L31)</f>
        <v>0</v>
      </c>
      <c r="M30" s="417">
        <f>SUM(M31:M31)</f>
        <v>0</v>
      </c>
      <c r="N30" s="417">
        <f>SUM(N31:N31)</f>
        <v>0</v>
      </c>
      <c r="O30" s="416">
        <f t="shared" si="10"/>
        <v>0</v>
      </c>
      <c r="P30" s="125"/>
      <c r="Q30" s="125"/>
      <c r="R30" s="125"/>
      <c r="S30" s="125"/>
      <c r="T30" s="125"/>
    </row>
    <row r="31" spans="1:209" s="8" customFormat="1" ht="47.25" hidden="1" x14ac:dyDescent="0.25">
      <c r="A31" s="272"/>
      <c r="B31" s="268" t="s">
        <v>422</v>
      </c>
      <c r="C31" s="124">
        <f t="shared" si="11"/>
        <v>0</v>
      </c>
      <c r="D31" s="407"/>
      <c r="E31" s="407"/>
      <c r="F31" s="417"/>
      <c r="G31" s="407"/>
      <c r="H31" s="407"/>
      <c r="I31" s="416">
        <f t="shared" si="9"/>
        <v>0</v>
      </c>
      <c r="J31" s="125"/>
      <c r="K31" s="125"/>
      <c r="L31" s="417"/>
      <c r="M31" s="407"/>
      <c r="N31" s="407"/>
      <c r="O31" s="416">
        <f t="shared" si="10"/>
        <v>0</v>
      </c>
      <c r="P31" s="125"/>
      <c r="Q31" s="125"/>
      <c r="R31" s="420"/>
      <c r="S31" s="125"/>
      <c r="T31" s="125"/>
    </row>
    <row r="32" spans="1:209" s="8" customFormat="1" ht="31.5" hidden="1" customHeight="1" x14ac:dyDescent="0.25">
      <c r="A32" s="272"/>
      <c r="B32" s="339" t="s">
        <v>290</v>
      </c>
      <c r="C32" s="124">
        <f>SUM(D32:H32)</f>
        <v>0</v>
      </c>
      <c r="D32" s="407"/>
      <c r="E32" s="407"/>
      <c r="F32" s="129"/>
      <c r="G32" s="407"/>
      <c r="H32" s="407">
        <f>SUM(H33:H35)</f>
        <v>0</v>
      </c>
      <c r="I32" s="416">
        <f t="shared" si="9"/>
        <v>0</v>
      </c>
      <c r="J32" s="125"/>
      <c r="K32" s="125"/>
      <c r="L32" s="129"/>
      <c r="M32" s="407"/>
      <c r="N32" s="407">
        <f>SUM(N33:N35)</f>
        <v>0</v>
      </c>
      <c r="O32" s="416">
        <f t="shared" si="10"/>
        <v>0</v>
      </c>
      <c r="P32" s="125"/>
      <c r="Q32" s="125"/>
      <c r="R32" s="125"/>
      <c r="S32" s="125"/>
      <c r="T32" s="407">
        <f>SUM(T33:T35)</f>
        <v>0</v>
      </c>
      <c r="U32" s="407">
        <f>SUM(U33:U35)</f>
        <v>6920.5999999999995</v>
      </c>
    </row>
    <row r="33" spans="1:209" s="8" customFormat="1" ht="31.5" hidden="1" x14ac:dyDescent="0.25">
      <c r="A33" s="272"/>
      <c r="B33" s="421" t="s">
        <v>423</v>
      </c>
      <c r="C33" s="124">
        <f t="shared" si="11"/>
        <v>0</v>
      </c>
      <c r="D33" s="407"/>
      <c r="E33" s="407"/>
      <c r="F33" s="129"/>
      <c r="G33" s="407"/>
      <c r="H33" s="408"/>
      <c r="I33" s="416">
        <f t="shared" si="9"/>
        <v>0</v>
      </c>
      <c r="J33" s="125"/>
      <c r="K33" s="125"/>
      <c r="L33" s="129"/>
      <c r="M33" s="407"/>
      <c r="N33" s="408"/>
      <c r="O33" s="416">
        <f t="shared" si="10"/>
        <v>0</v>
      </c>
      <c r="P33" s="125"/>
      <c r="Q33" s="125"/>
      <c r="R33" s="125"/>
      <c r="S33" s="125"/>
      <c r="T33" s="125"/>
      <c r="U33" s="125">
        <v>3251</v>
      </c>
    </row>
    <row r="34" spans="1:209" s="8" customFormat="1" ht="31.5" hidden="1" x14ac:dyDescent="0.25">
      <c r="A34" s="272"/>
      <c r="B34" s="324" t="s">
        <v>424</v>
      </c>
      <c r="C34" s="124">
        <f t="shared" si="11"/>
        <v>0</v>
      </c>
      <c r="D34" s="407"/>
      <c r="E34" s="407"/>
      <c r="F34" s="407"/>
      <c r="G34" s="407"/>
      <c r="H34" s="125"/>
      <c r="I34" s="416">
        <f t="shared" si="9"/>
        <v>0</v>
      </c>
      <c r="J34" s="125"/>
      <c r="K34" s="125"/>
      <c r="L34" s="407"/>
      <c r="M34" s="407"/>
      <c r="N34" s="125"/>
      <c r="O34" s="416">
        <f t="shared" si="10"/>
        <v>0</v>
      </c>
      <c r="P34" s="125"/>
      <c r="Q34" s="125"/>
      <c r="R34" s="420"/>
      <c r="S34" s="125"/>
      <c r="T34" s="125"/>
      <c r="U34" s="125">
        <v>3162.9</v>
      </c>
    </row>
    <row r="35" spans="1:209" s="8" customFormat="1" hidden="1" x14ac:dyDescent="0.25">
      <c r="A35" s="272"/>
      <c r="B35" s="324" t="s">
        <v>892</v>
      </c>
      <c r="C35" s="124">
        <f t="shared" si="11"/>
        <v>0</v>
      </c>
      <c r="D35" s="407"/>
      <c r="E35" s="407"/>
      <c r="F35" s="407"/>
      <c r="G35" s="407"/>
      <c r="H35" s="125"/>
      <c r="I35" s="416">
        <f t="shared" si="9"/>
        <v>0</v>
      </c>
      <c r="J35" s="125"/>
      <c r="K35" s="125"/>
      <c r="L35" s="407"/>
      <c r="M35" s="407"/>
      <c r="N35" s="125"/>
      <c r="O35" s="416">
        <f t="shared" si="10"/>
        <v>0</v>
      </c>
      <c r="P35" s="125"/>
      <c r="Q35" s="125"/>
      <c r="R35" s="420"/>
      <c r="S35" s="125"/>
      <c r="T35" s="125"/>
      <c r="U35" s="125">
        <v>506.7</v>
      </c>
    </row>
    <row r="36" spans="1:209" s="283" customFormat="1" ht="78.75" x14ac:dyDescent="0.3">
      <c r="A36" s="551">
        <v>4</v>
      </c>
      <c r="B36" s="79" t="s">
        <v>929</v>
      </c>
      <c r="C36" s="149">
        <f t="shared" ref="C36:H36" si="12">SUM(C37:C37)</f>
        <v>50</v>
      </c>
      <c r="D36" s="149">
        <f t="shared" si="12"/>
        <v>0</v>
      </c>
      <c r="E36" s="149">
        <f t="shared" si="12"/>
        <v>0</v>
      </c>
      <c r="F36" s="149">
        <f t="shared" si="12"/>
        <v>50</v>
      </c>
      <c r="G36" s="149">
        <f t="shared" si="12"/>
        <v>0</v>
      </c>
      <c r="H36" s="149">
        <f t="shared" si="12"/>
        <v>0</v>
      </c>
      <c r="I36" s="149">
        <f t="shared" si="9"/>
        <v>192.82</v>
      </c>
      <c r="J36" s="149">
        <f>SUM(J37:J37)</f>
        <v>0</v>
      </c>
      <c r="K36" s="149">
        <f>SUM(K37:K37)</f>
        <v>0</v>
      </c>
      <c r="L36" s="149">
        <f>SUM(L37:L37)</f>
        <v>192.82</v>
      </c>
      <c r="M36" s="149">
        <f>SUM(M37:M37)</f>
        <v>0</v>
      </c>
      <c r="N36" s="149">
        <f>SUM(N37:N37)</f>
        <v>0</v>
      </c>
      <c r="O36" s="149">
        <f t="shared" si="10"/>
        <v>166.97</v>
      </c>
      <c r="P36" s="149">
        <f>SUM(P37:P37)</f>
        <v>0</v>
      </c>
      <c r="Q36" s="149">
        <f>SUM(Q37:Q37)</f>
        <v>0</v>
      </c>
      <c r="R36" s="149">
        <f>SUM(R37:R37)</f>
        <v>166.97</v>
      </c>
      <c r="S36" s="149">
        <f>SUM(S37:S37)</f>
        <v>0</v>
      </c>
      <c r="T36" s="149">
        <f>SUM(T37:T37)</f>
        <v>0</v>
      </c>
      <c r="U36" s="413">
        <f>I36/4*3</f>
        <v>144.61500000000001</v>
      </c>
      <c r="V36" s="735">
        <f>O36/I36*100</f>
        <v>86.59371434498496</v>
      </c>
      <c r="W36" s="734"/>
      <c r="X36" s="739"/>
      <c r="Y36" s="736"/>
      <c r="Z36" s="736"/>
      <c r="AA36" s="734"/>
      <c r="AB36" s="734"/>
      <c r="AC36" s="734"/>
      <c r="AD36" s="734"/>
      <c r="AE36" s="734"/>
      <c r="AF36" s="734"/>
      <c r="AG36" s="734"/>
      <c r="AH36" s="734"/>
      <c r="AI36" s="734"/>
      <c r="AJ36" s="734"/>
      <c r="AK36" s="734"/>
      <c r="AL36" s="734"/>
      <c r="AM36" s="734"/>
      <c r="AN36" s="734"/>
      <c r="AO36" s="734"/>
      <c r="AP36" s="734"/>
      <c r="AQ36" s="734"/>
      <c r="AR36" s="734"/>
      <c r="AS36" s="734"/>
      <c r="AT36" s="734"/>
      <c r="AU36" s="734"/>
      <c r="AV36" s="734"/>
      <c r="AW36" s="734"/>
      <c r="AX36" s="734"/>
      <c r="AY36" s="734"/>
      <c r="AZ36" s="734"/>
      <c r="BA36" s="734"/>
      <c r="BB36" s="734"/>
      <c r="BC36" s="734"/>
      <c r="BD36" s="734"/>
      <c r="BE36" s="734"/>
      <c r="BF36" s="734"/>
      <c r="BG36" s="734"/>
      <c r="BH36" s="734"/>
      <c r="BI36" s="734"/>
      <c r="BJ36" s="734"/>
      <c r="BK36" s="734"/>
      <c r="BL36" s="734"/>
      <c r="BM36" s="734"/>
      <c r="BN36" s="734"/>
      <c r="BO36" s="734"/>
      <c r="BP36" s="734"/>
      <c r="BQ36" s="734"/>
      <c r="BR36" s="734"/>
      <c r="BS36" s="734"/>
      <c r="BT36" s="734"/>
      <c r="BU36" s="734"/>
      <c r="BV36" s="734"/>
      <c r="BW36" s="734"/>
      <c r="BX36" s="734"/>
      <c r="BY36" s="734"/>
      <c r="BZ36" s="734"/>
      <c r="CA36" s="734"/>
      <c r="CB36" s="734"/>
      <c r="CC36" s="734"/>
      <c r="CD36" s="734"/>
      <c r="CE36" s="734"/>
      <c r="CF36" s="734"/>
      <c r="CG36" s="734"/>
      <c r="CH36" s="734"/>
      <c r="CI36" s="734"/>
      <c r="CJ36" s="734"/>
      <c r="CK36" s="734"/>
      <c r="CL36" s="734"/>
      <c r="CM36" s="734"/>
      <c r="CN36" s="734"/>
      <c r="CO36" s="734"/>
      <c r="CP36" s="734"/>
      <c r="CQ36" s="734"/>
      <c r="CR36" s="734"/>
      <c r="CS36" s="734"/>
      <c r="CT36" s="734"/>
      <c r="CU36" s="734"/>
      <c r="CV36" s="734"/>
      <c r="CW36" s="734"/>
      <c r="CX36" s="734"/>
      <c r="CY36" s="734"/>
      <c r="CZ36" s="734"/>
      <c r="DA36" s="734"/>
      <c r="DB36" s="734"/>
      <c r="DC36" s="734"/>
      <c r="DD36" s="734"/>
      <c r="DE36" s="734"/>
      <c r="DF36" s="734"/>
      <c r="DG36" s="734"/>
      <c r="DH36" s="734"/>
      <c r="DI36" s="734"/>
      <c r="DJ36" s="734"/>
      <c r="DK36" s="734"/>
      <c r="DL36" s="734"/>
      <c r="DM36" s="734"/>
      <c r="DN36" s="734"/>
      <c r="DO36" s="734"/>
      <c r="DP36" s="734"/>
      <c r="DQ36" s="734"/>
      <c r="DR36" s="734"/>
      <c r="DS36" s="734"/>
      <c r="DT36" s="734"/>
      <c r="DU36" s="734"/>
      <c r="DV36" s="734"/>
      <c r="DW36" s="734"/>
      <c r="DX36" s="734"/>
      <c r="DY36" s="734"/>
      <c r="DZ36" s="734"/>
      <c r="EA36" s="734"/>
      <c r="EB36" s="734"/>
      <c r="EC36" s="734"/>
      <c r="ED36" s="734"/>
      <c r="EE36" s="734"/>
      <c r="EF36" s="734"/>
      <c r="EG36" s="734"/>
      <c r="EH36" s="734"/>
      <c r="EI36" s="734"/>
      <c r="EJ36" s="734"/>
      <c r="EK36" s="734"/>
      <c r="EL36" s="734"/>
      <c r="EM36" s="734"/>
      <c r="EN36" s="734"/>
      <c r="EO36" s="734"/>
      <c r="EP36" s="734"/>
      <c r="EQ36" s="734"/>
      <c r="ER36" s="734"/>
      <c r="ES36" s="734"/>
      <c r="ET36" s="734"/>
      <c r="EU36" s="734"/>
      <c r="EV36" s="734"/>
      <c r="EW36" s="734"/>
      <c r="EX36" s="734"/>
      <c r="EY36" s="734"/>
      <c r="EZ36" s="734"/>
      <c r="FA36" s="734"/>
      <c r="FB36" s="734"/>
      <c r="FC36" s="734"/>
      <c r="FD36" s="734"/>
      <c r="FE36" s="734"/>
      <c r="FF36" s="734"/>
      <c r="FG36" s="734"/>
      <c r="FH36" s="734"/>
      <c r="FI36" s="734"/>
      <c r="FJ36" s="734"/>
      <c r="FK36" s="734"/>
      <c r="FL36" s="734"/>
      <c r="FM36" s="734"/>
      <c r="FN36" s="734"/>
      <c r="FO36" s="734"/>
      <c r="FP36" s="734"/>
      <c r="FQ36" s="734"/>
      <c r="FR36" s="734"/>
      <c r="FS36" s="734"/>
      <c r="FT36" s="734"/>
      <c r="FU36" s="734"/>
      <c r="FV36" s="734"/>
      <c r="FW36" s="734"/>
      <c r="FX36" s="734"/>
      <c r="FY36" s="734"/>
      <c r="FZ36" s="734"/>
      <c r="GA36" s="734"/>
      <c r="GB36" s="734"/>
      <c r="GC36" s="734"/>
      <c r="GD36" s="734"/>
      <c r="GE36" s="734"/>
      <c r="GF36" s="734"/>
      <c r="GG36" s="734"/>
      <c r="GH36" s="734"/>
      <c r="GI36" s="734"/>
      <c r="GJ36" s="734"/>
      <c r="GK36" s="734"/>
      <c r="GL36" s="734"/>
      <c r="GM36" s="734"/>
      <c r="GN36" s="734"/>
      <c r="GO36" s="734"/>
      <c r="GP36" s="734"/>
      <c r="GQ36" s="734"/>
      <c r="GR36" s="734"/>
      <c r="GS36" s="734"/>
      <c r="GT36" s="734"/>
      <c r="GU36" s="734"/>
      <c r="GV36" s="734"/>
      <c r="GW36" s="734"/>
      <c r="GX36" s="734"/>
      <c r="GY36" s="734"/>
      <c r="GZ36" s="734"/>
      <c r="HA36" s="734"/>
    </row>
    <row r="37" spans="1:209" s="8" customFormat="1" ht="47.25" x14ac:dyDescent="0.25">
      <c r="A37" s="272"/>
      <c r="B37" s="273" t="s">
        <v>761</v>
      </c>
      <c r="C37" s="124">
        <f>SUM(D37:H37)</f>
        <v>50</v>
      </c>
      <c r="D37" s="407"/>
      <c r="E37" s="407"/>
      <c r="F37" s="422">
        <v>50</v>
      </c>
      <c r="G37" s="422"/>
      <c r="H37" s="407"/>
      <c r="I37" s="124">
        <f t="shared" si="9"/>
        <v>192.82</v>
      </c>
      <c r="J37" s="125"/>
      <c r="K37" s="125"/>
      <c r="L37" s="414">
        <v>192.82</v>
      </c>
      <c r="M37" s="125"/>
      <c r="N37" s="125"/>
      <c r="O37" s="124">
        <f t="shared" si="10"/>
        <v>166.97</v>
      </c>
      <c r="P37" s="125"/>
      <c r="Q37" s="125"/>
      <c r="R37" s="423">
        <v>166.97</v>
      </c>
      <c r="S37" s="125"/>
      <c r="T37" s="125"/>
    </row>
    <row r="38" spans="1:209" s="283" customFormat="1" ht="47.25" x14ac:dyDescent="0.3">
      <c r="A38" s="551">
        <v>5</v>
      </c>
      <c r="B38" s="80" t="s">
        <v>1176</v>
      </c>
      <c r="C38" s="149">
        <f>SUM(D38:H38)</f>
        <v>428</v>
      </c>
      <c r="D38" s="149">
        <v>0</v>
      </c>
      <c r="E38" s="149">
        <v>0</v>
      </c>
      <c r="F38" s="149">
        <f>SUM(F39+F48+F50)</f>
        <v>428</v>
      </c>
      <c r="G38" s="149">
        <v>0</v>
      </c>
      <c r="H38" s="149">
        <v>0</v>
      </c>
      <c r="I38" s="149">
        <f>SUM(J38:N38)</f>
        <v>843.52</v>
      </c>
      <c r="J38" s="149">
        <v>0</v>
      </c>
      <c r="K38" s="149">
        <v>0</v>
      </c>
      <c r="L38" s="149">
        <f>SUM(L39+L48+L50)</f>
        <v>843.52</v>
      </c>
      <c r="M38" s="149">
        <v>0</v>
      </c>
      <c r="N38" s="149">
        <v>0</v>
      </c>
      <c r="O38" s="149">
        <f>SUM(P38:T38)</f>
        <v>813.52</v>
      </c>
      <c r="P38" s="149">
        <v>0</v>
      </c>
      <c r="Q38" s="149">
        <v>0</v>
      </c>
      <c r="R38" s="149">
        <f>SUM(R39+R48+R50)</f>
        <v>813.52</v>
      </c>
      <c r="S38" s="149">
        <v>0</v>
      </c>
      <c r="T38" s="149">
        <v>0</v>
      </c>
      <c r="U38" s="149">
        <f>SUM(U39+U48+U50)</f>
        <v>723.02</v>
      </c>
      <c r="V38" s="735">
        <f>O38/I38*100</f>
        <v>96.443474962063732</v>
      </c>
      <c r="W38" s="734"/>
      <c r="X38" s="739"/>
      <c r="Y38" s="736"/>
      <c r="Z38" s="736"/>
      <c r="AA38" s="734"/>
      <c r="AB38" s="734"/>
      <c r="AC38" s="734"/>
      <c r="AD38" s="734"/>
      <c r="AE38" s="734"/>
      <c r="AF38" s="734"/>
      <c r="AG38" s="734"/>
      <c r="AH38" s="734"/>
      <c r="AI38" s="734"/>
      <c r="AJ38" s="734"/>
      <c r="AK38" s="734"/>
      <c r="AL38" s="734"/>
      <c r="AM38" s="734"/>
      <c r="AN38" s="734"/>
      <c r="AO38" s="734"/>
      <c r="AP38" s="734"/>
      <c r="AQ38" s="734"/>
      <c r="AR38" s="734"/>
      <c r="AS38" s="734"/>
      <c r="AT38" s="734"/>
      <c r="AU38" s="734"/>
      <c r="AV38" s="734"/>
      <c r="AW38" s="734"/>
      <c r="AX38" s="734"/>
      <c r="AY38" s="734"/>
      <c r="AZ38" s="734"/>
      <c r="BA38" s="734"/>
      <c r="BB38" s="734"/>
      <c r="BC38" s="734"/>
      <c r="BD38" s="734"/>
      <c r="BE38" s="734"/>
      <c r="BF38" s="734"/>
      <c r="BG38" s="734"/>
      <c r="BH38" s="734"/>
      <c r="BI38" s="734"/>
      <c r="BJ38" s="734"/>
      <c r="BK38" s="734"/>
      <c r="BL38" s="734"/>
      <c r="BM38" s="734"/>
      <c r="BN38" s="734"/>
      <c r="BO38" s="734"/>
      <c r="BP38" s="734"/>
      <c r="BQ38" s="734"/>
      <c r="BR38" s="734"/>
      <c r="BS38" s="734"/>
      <c r="BT38" s="734"/>
      <c r="BU38" s="734"/>
      <c r="BV38" s="734"/>
      <c r="BW38" s="734"/>
      <c r="BX38" s="734"/>
      <c r="BY38" s="734"/>
      <c r="BZ38" s="734"/>
      <c r="CA38" s="734"/>
      <c r="CB38" s="734"/>
      <c r="CC38" s="734"/>
      <c r="CD38" s="734"/>
      <c r="CE38" s="734"/>
      <c r="CF38" s="734"/>
      <c r="CG38" s="734"/>
      <c r="CH38" s="734"/>
      <c r="CI38" s="734"/>
      <c r="CJ38" s="734"/>
      <c r="CK38" s="734"/>
      <c r="CL38" s="734"/>
      <c r="CM38" s="734"/>
      <c r="CN38" s="734"/>
      <c r="CO38" s="734"/>
      <c r="CP38" s="734"/>
      <c r="CQ38" s="734"/>
      <c r="CR38" s="734"/>
      <c r="CS38" s="734"/>
      <c r="CT38" s="734"/>
      <c r="CU38" s="734"/>
      <c r="CV38" s="734"/>
      <c r="CW38" s="734"/>
      <c r="CX38" s="734"/>
      <c r="CY38" s="734"/>
      <c r="CZ38" s="734"/>
      <c r="DA38" s="734"/>
      <c r="DB38" s="734"/>
      <c r="DC38" s="734"/>
      <c r="DD38" s="734"/>
      <c r="DE38" s="734"/>
      <c r="DF38" s="734"/>
      <c r="DG38" s="734"/>
      <c r="DH38" s="734"/>
      <c r="DI38" s="734"/>
      <c r="DJ38" s="734"/>
      <c r="DK38" s="734"/>
      <c r="DL38" s="734"/>
      <c r="DM38" s="734"/>
      <c r="DN38" s="734"/>
      <c r="DO38" s="734"/>
      <c r="DP38" s="734"/>
      <c r="DQ38" s="734"/>
      <c r="DR38" s="734"/>
      <c r="DS38" s="734"/>
      <c r="DT38" s="734"/>
      <c r="DU38" s="734"/>
      <c r="DV38" s="734"/>
      <c r="DW38" s="734"/>
      <c r="DX38" s="734"/>
      <c r="DY38" s="734"/>
      <c r="DZ38" s="734"/>
      <c r="EA38" s="734"/>
      <c r="EB38" s="734"/>
      <c r="EC38" s="734"/>
      <c r="ED38" s="734"/>
      <c r="EE38" s="734"/>
      <c r="EF38" s="734"/>
      <c r="EG38" s="734"/>
      <c r="EH38" s="734"/>
      <c r="EI38" s="734"/>
      <c r="EJ38" s="734"/>
      <c r="EK38" s="734"/>
      <c r="EL38" s="734"/>
      <c r="EM38" s="734"/>
      <c r="EN38" s="734"/>
      <c r="EO38" s="734"/>
      <c r="EP38" s="734"/>
      <c r="EQ38" s="734"/>
      <c r="ER38" s="734"/>
      <c r="ES38" s="734"/>
      <c r="ET38" s="734"/>
      <c r="EU38" s="734"/>
      <c r="EV38" s="734"/>
      <c r="EW38" s="734"/>
      <c r="EX38" s="734"/>
      <c r="EY38" s="734"/>
      <c r="EZ38" s="734"/>
      <c r="FA38" s="734"/>
      <c r="FB38" s="734"/>
      <c r="FC38" s="734"/>
      <c r="FD38" s="734"/>
      <c r="FE38" s="734"/>
      <c r="FF38" s="734"/>
      <c r="FG38" s="734"/>
      <c r="FH38" s="734"/>
      <c r="FI38" s="734"/>
      <c r="FJ38" s="734"/>
      <c r="FK38" s="734"/>
      <c r="FL38" s="734"/>
      <c r="FM38" s="734"/>
      <c r="FN38" s="734"/>
      <c r="FO38" s="734"/>
      <c r="FP38" s="734"/>
      <c r="FQ38" s="734"/>
      <c r="FR38" s="734"/>
      <c r="FS38" s="734"/>
      <c r="FT38" s="734"/>
      <c r="FU38" s="734"/>
      <c r="FV38" s="734"/>
      <c r="FW38" s="734"/>
      <c r="FX38" s="734"/>
      <c r="FY38" s="734"/>
      <c r="FZ38" s="734"/>
      <c r="GA38" s="734"/>
      <c r="GB38" s="734"/>
      <c r="GC38" s="734"/>
      <c r="GD38" s="734"/>
      <c r="GE38" s="734"/>
      <c r="GF38" s="734"/>
      <c r="GG38" s="734"/>
      <c r="GH38" s="734"/>
      <c r="GI38" s="734"/>
      <c r="GJ38" s="734"/>
      <c r="GK38" s="734"/>
      <c r="GL38" s="734"/>
      <c r="GM38" s="734"/>
      <c r="GN38" s="734"/>
      <c r="GO38" s="734"/>
      <c r="GP38" s="734"/>
      <c r="GQ38" s="734"/>
      <c r="GR38" s="734"/>
      <c r="GS38" s="734"/>
      <c r="GT38" s="734"/>
      <c r="GU38" s="734"/>
      <c r="GV38" s="734"/>
      <c r="GW38" s="734"/>
      <c r="GX38" s="734"/>
      <c r="GY38" s="734"/>
      <c r="GZ38" s="734"/>
      <c r="HA38" s="734"/>
    </row>
    <row r="39" spans="1:209" s="8" customFormat="1" ht="94.5" x14ac:dyDescent="0.25">
      <c r="A39" s="272"/>
      <c r="B39" s="57" t="s">
        <v>807</v>
      </c>
      <c r="C39" s="124">
        <f t="shared" ref="C39:C52" si="13">SUM(D39:H39)</f>
        <v>392</v>
      </c>
      <c r="D39" s="125"/>
      <c r="E39" s="125"/>
      <c r="F39" s="420">
        <f>F40+F43</f>
        <v>392</v>
      </c>
      <c r="G39" s="125"/>
      <c r="H39" s="125"/>
      <c r="I39" s="124">
        <f t="shared" si="9"/>
        <v>780.52</v>
      </c>
      <c r="J39" s="420"/>
      <c r="K39" s="420"/>
      <c r="L39" s="420">
        <f>L40+L43</f>
        <v>780.52</v>
      </c>
      <c r="M39" s="420"/>
      <c r="N39" s="420"/>
      <c r="O39" s="124">
        <f t="shared" ref="O39:O52" si="14">SUM(P39:T39)</f>
        <v>750.52</v>
      </c>
      <c r="P39" s="420"/>
      <c r="Q39" s="420"/>
      <c r="R39" s="420">
        <f>R40+R43</f>
        <v>750.52</v>
      </c>
      <c r="S39" s="420"/>
      <c r="T39" s="420"/>
      <c r="U39" s="420">
        <f>U40+U43</f>
        <v>660.02</v>
      </c>
    </row>
    <row r="40" spans="1:209" s="305" customFormat="1" x14ac:dyDescent="0.25">
      <c r="A40" s="298"/>
      <c r="B40" s="174" t="s">
        <v>296</v>
      </c>
      <c r="C40" s="425">
        <f t="shared" si="13"/>
        <v>210</v>
      </c>
      <c r="D40" s="424"/>
      <c r="E40" s="424"/>
      <c r="F40" s="424">
        <f>SUM(F41:F42)</f>
        <v>210</v>
      </c>
      <c r="G40" s="424"/>
      <c r="H40" s="424"/>
      <c r="I40" s="425">
        <f t="shared" si="9"/>
        <v>465.02</v>
      </c>
      <c r="J40" s="424"/>
      <c r="K40" s="424"/>
      <c r="L40" s="424">
        <f>SUM(L41:L42)</f>
        <v>465.02</v>
      </c>
      <c r="M40" s="424"/>
      <c r="N40" s="424"/>
      <c r="O40" s="425">
        <f t="shared" si="14"/>
        <v>465.02</v>
      </c>
      <c r="P40" s="424"/>
      <c r="Q40" s="424"/>
      <c r="R40" s="424">
        <f>SUM(R41:R42)</f>
        <v>465.02</v>
      </c>
      <c r="S40" s="424"/>
      <c r="T40" s="424"/>
      <c r="U40" s="424">
        <f>SUM(U41:U42)</f>
        <v>405.02</v>
      </c>
    </row>
    <row r="41" spans="1:209" s="8" customFormat="1" ht="31.5" x14ac:dyDescent="0.25">
      <c r="A41" s="272"/>
      <c r="B41" s="312" t="s">
        <v>425</v>
      </c>
      <c r="C41" s="427">
        <f t="shared" si="13"/>
        <v>210</v>
      </c>
      <c r="D41" s="408"/>
      <c r="E41" s="408"/>
      <c r="F41" s="408">
        <v>210</v>
      </c>
      <c r="G41" s="408"/>
      <c r="H41" s="408"/>
      <c r="I41" s="427">
        <f t="shared" si="9"/>
        <v>315.02</v>
      </c>
      <c r="J41" s="125"/>
      <c r="K41" s="125"/>
      <c r="L41" s="129">
        <f>280+35.02</f>
        <v>315.02</v>
      </c>
      <c r="M41" s="125"/>
      <c r="N41" s="125"/>
      <c r="O41" s="427">
        <f t="shared" si="14"/>
        <v>315.02</v>
      </c>
      <c r="P41" s="125"/>
      <c r="Q41" s="125"/>
      <c r="R41" s="125">
        <f>280+35.02</f>
        <v>315.02</v>
      </c>
      <c r="S41" s="125"/>
      <c r="T41" s="125"/>
      <c r="U41" s="8">
        <v>315.02</v>
      </c>
    </row>
    <row r="42" spans="1:209" s="8" customFormat="1" ht="31.5" x14ac:dyDescent="0.25">
      <c r="A42" s="272"/>
      <c r="B42" s="306" t="s">
        <v>808</v>
      </c>
      <c r="C42" s="427">
        <f t="shared" si="13"/>
        <v>0</v>
      </c>
      <c r="D42" s="408"/>
      <c r="E42" s="408"/>
      <c r="F42" s="408"/>
      <c r="G42" s="408"/>
      <c r="H42" s="408"/>
      <c r="I42" s="427">
        <f t="shared" si="9"/>
        <v>150</v>
      </c>
      <c r="J42" s="125"/>
      <c r="K42" s="125"/>
      <c r="L42" s="129">
        <v>150</v>
      </c>
      <c r="M42" s="125"/>
      <c r="N42" s="125"/>
      <c r="O42" s="427">
        <f t="shared" si="14"/>
        <v>150</v>
      </c>
      <c r="P42" s="125"/>
      <c r="Q42" s="125"/>
      <c r="R42" s="125">
        <v>150</v>
      </c>
      <c r="S42" s="125"/>
      <c r="T42" s="125"/>
      <c r="U42" s="8">
        <v>90</v>
      </c>
    </row>
    <row r="43" spans="1:209" s="305" customFormat="1" x14ac:dyDescent="0.25">
      <c r="A43" s="298"/>
      <c r="B43" s="346" t="s">
        <v>426</v>
      </c>
      <c r="C43" s="425">
        <f t="shared" si="13"/>
        <v>182</v>
      </c>
      <c r="D43" s="426"/>
      <c r="E43" s="426"/>
      <c r="F43" s="426">
        <f>SUM(F44:F47)</f>
        <v>182</v>
      </c>
      <c r="G43" s="426"/>
      <c r="H43" s="426"/>
      <c r="I43" s="425">
        <f t="shared" si="9"/>
        <v>315.5</v>
      </c>
      <c r="J43" s="424"/>
      <c r="K43" s="424"/>
      <c r="L43" s="424">
        <f>SUM(L44:L47)</f>
        <v>315.5</v>
      </c>
      <c r="M43" s="424"/>
      <c r="N43" s="424"/>
      <c r="O43" s="425">
        <f t="shared" si="14"/>
        <v>285.5</v>
      </c>
      <c r="P43" s="424"/>
      <c r="Q43" s="424"/>
      <c r="R43" s="424">
        <f>SUM(R44:R47)</f>
        <v>285.5</v>
      </c>
      <c r="S43" s="424"/>
      <c r="T43" s="424"/>
      <c r="U43" s="424">
        <f>SUM(U44:U47)</f>
        <v>255</v>
      </c>
    </row>
    <row r="44" spans="1:209" s="8" customFormat="1" ht="63" x14ac:dyDescent="0.25">
      <c r="A44" s="272"/>
      <c r="B44" s="312" t="s">
        <v>427</v>
      </c>
      <c r="C44" s="427">
        <f t="shared" si="13"/>
        <v>40</v>
      </c>
      <c r="D44" s="408"/>
      <c r="E44" s="408"/>
      <c r="F44" s="408">
        <v>40</v>
      </c>
      <c r="G44" s="408"/>
      <c r="H44" s="408"/>
      <c r="I44" s="427">
        <f t="shared" si="9"/>
        <v>133.5</v>
      </c>
      <c r="J44" s="125"/>
      <c r="K44" s="125"/>
      <c r="L44" s="125">
        <v>133.5</v>
      </c>
      <c r="M44" s="125"/>
      <c r="N44" s="125"/>
      <c r="O44" s="427">
        <f t="shared" si="14"/>
        <v>133.5</v>
      </c>
      <c r="P44" s="125"/>
      <c r="Q44" s="125"/>
      <c r="R44" s="125">
        <v>133.5</v>
      </c>
      <c r="S44" s="125"/>
      <c r="T44" s="125"/>
      <c r="U44" s="8">
        <v>100</v>
      </c>
    </row>
    <row r="45" spans="1:209" s="8" customFormat="1" ht="63" x14ac:dyDescent="0.25">
      <c r="A45" s="272"/>
      <c r="B45" s="312" t="s">
        <v>428</v>
      </c>
      <c r="C45" s="427">
        <f t="shared" si="13"/>
        <v>115</v>
      </c>
      <c r="D45" s="408"/>
      <c r="E45" s="408"/>
      <c r="F45" s="408">
        <v>115</v>
      </c>
      <c r="G45" s="408"/>
      <c r="H45" s="408"/>
      <c r="I45" s="427">
        <f t="shared" si="9"/>
        <v>145</v>
      </c>
      <c r="J45" s="125"/>
      <c r="K45" s="125"/>
      <c r="L45" s="125">
        <v>145</v>
      </c>
      <c r="M45" s="125"/>
      <c r="N45" s="125"/>
      <c r="O45" s="427">
        <f t="shared" si="14"/>
        <v>115</v>
      </c>
      <c r="P45" s="125"/>
      <c r="Q45" s="125"/>
      <c r="R45" s="125">
        <v>115</v>
      </c>
      <c r="S45" s="125"/>
      <c r="T45" s="125"/>
      <c r="U45" s="8">
        <v>145</v>
      </c>
    </row>
    <row r="46" spans="1:209" s="8" customFormat="1" ht="47.25" x14ac:dyDescent="0.25">
      <c r="A46" s="272"/>
      <c r="B46" s="58" t="s">
        <v>429</v>
      </c>
      <c r="C46" s="427">
        <f t="shared" si="13"/>
        <v>0</v>
      </c>
      <c r="D46" s="125"/>
      <c r="E46" s="125"/>
      <c r="F46" s="408">
        <v>0</v>
      </c>
      <c r="G46" s="125"/>
      <c r="H46" s="125"/>
      <c r="I46" s="427">
        <f t="shared" si="9"/>
        <v>10</v>
      </c>
      <c r="J46" s="125"/>
      <c r="K46" s="125"/>
      <c r="L46" s="125">
        <v>10</v>
      </c>
      <c r="M46" s="125"/>
      <c r="N46" s="125"/>
      <c r="O46" s="427">
        <f t="shared" si="14"/>
        <v>10</v>
      </c>
      <c r="P46" s="125"/>
      <c r="Q46" s="125"/>
      <c r="R46" s="125">
        <v>10</v>
      </c>
      <c r="S46" s="125"/>
      <c r="T46" s="125"/>
      <c r="U46" s="8">
        <v>10</v>
      </c>
    </row>
    <row r="47" spans="1:209" s="8" customFormat="1" ht="63" x14ac:dyDescent="0.25">
      <c r="A47" s="272"/>
      <c r="B47" s="312" t="s">
        <v>433</v>
      </c>
      <c r="C47" s="427">
        <f t="shared" si="13"/>
        <v>27</v>
      </c>
      <c r="D47" s="408"/>
      <c r="E47" s="408"/>
      <c r="F47" s="125">
        <v>27</v>
      </c>
      <c r="G47" s="408"/>
      <c r="H47" s="408"/>
      <c r="I47" s="427">
        <f>SUM(J47:N47)</f>
        <v>27</v>
      </c>
      <c r="J47" s="125"/>
      <c r="K47" s="125"/>
      <c r="L47" s="125">
        <v>27</v>
      </c>
      <c r="M47" s="125"/>
      <c r="N47" s="125"/>
      <c r="O47" s="427">
        <f>SUM(P47:T47)</f>
        <v>27</v>
      </c>
      <c r="P47" s="125"/>
      <c r="Q47" s="125"/>
      <c r="R47" s="125">
        <v>27</v>
      </c>
      <c r="S47" s="125"/>
      <c r="T47" s="125"/>
    </row>
    <row r="48" spans="1:209" s="8" customFormat="1" x14ac:dyDescent="0.25">
      <c r="A48" s="272"/>
      <c r="B48" s="57" t="s">
        <v>430</v>
      </c>
      <c r="C48" s="124">
        <f t="shared" si="13"/>
        <v>18</v>
      </c>
      <c r="D48" s="408"/>
      <c r="E48" s="408"/>
      <c r="F48" s="420">
        <f>SUM(F49:F49)</f>
        <v>18</v>
      </c>
      <c r="G48" s="408"/>
      <c r="H48" s="408"/>
      <c r="I48" s="124">
        <f t="shared" si="9"/>
        <v>48</v>
      </c>
      <c r="J48" s="125"/>
      <c r="K48" s="125"/>
      <c r="L48" s="420">
        <f>SUM(L49:L49)</f>
        <v>48</v>
      </c>
      <c r="M48" s="125"/>
      <c r="N48" s="125"/>
      <c r="O48" s="124">
        <f t="shared" si="14"/>
        <v>48</v>
      </c>
      <c r="P48" s="125"/>
      <c r="Q48" s="125"/>
      <c r="R48" s="420">
        <f>SUM(R49:R49)</f>
        <v>48</v>
      </c>
      <c r="S48" s="125"/>
      <c r="T48" s="125"/>
      <c r="U48" s="8">
        <v>48</v>
      </c>
    </row>
    <row r="49" spans="1:209" s="8" customFormat="1" ht="31.5" x14ac:dyDescent="0.25">
      <c r="A49" s="272"/>
      <c r="B49" s="312" t="s">
        <v>431</v>
      </c>
      <c r="C49" s="427">
        <f t="shared" si="13"/>
        <v>18</v>
      </c>
      <c r="D49" s="408"/>
      <c r="E49" s="408"/>
      <c r="F49" s="125">
        <v>18</v>
      </c>
      <c r="G49" s="408"/>
      <c r="H49" s="408"/>
      <c r="I49" s="427">
        <f t="shared" si="9"/>
        <v>48</v>
      </c>
      <c r="J49" s="125"/>
      <c r="K49" s="125"/>
      <c r="L49" s="125">
        <v>48</v>
      </c>
      <c r="M49" s="125"/>
      <c r="N49" s="125"/>
      <c r="O49" s="427">
        <f t="shared" si="14"/>
        <v>48</v>
      </c>
      <c r="P49" s="125"/>
      <c r="Q49" s="125"/>
      <c r="R49" s="125">
        <v>48</v>
      </c>
      <c r="S49" s="125"/>
      <c r="T49" s="125"/>
    </row>
    <row r="50" spans="1:209" s="8" customFormat="1" ht="31.5" x14ac:dyDescent="0.25">
      <c r="A50" s="272"/>
      <c r="B50" s="316" t="s">
        <v>303</v>
      </c>
      <c r="C50" s="124">
        <f t="shared" si="13"/>
        <v>18</v>
      </c>
      <c r="D50" s="408"/>
      <c r="E50" s="408"/>
      <c r="F50" s="420">
        <f>SUM(F51:F52)</f>
        <v>18</v>
      </c>
      <c r="G50" s="408"/>
      <c r="H50" s="408"/>
      <c r="I50" s="124">
        <f t="shared" si="9"/>
        <v>15</v>
      </c>
      <c r="J50" s="125"/>
      <c r="K50" s="125"/>
      <c r="L50" s="420">
        <f>SUM(L51:L52)</f>
        <v>15</v>
      </c>
      <c r="M50" s="125"/>
      <c r="N50" s="125"/>
      <c r="O50" s="124">
        <f t="shared" si="14"/>
        <v>15</v>
      </c>
      <c r="P50" s="125"/>
      <c r="Q50" s="125"/>
      <c r="R50" s="420">
        <f>SUM(R51:R52)</f>
        <v>15</v>
      </c>
      <c r="S50" s="125"/>
      <c r="T50" s="125"/>
      <c r="U50" s="420">
        <f>SUM(U51:U52)</f>
        <v>15</v>
      </c>
    </row>
    <row r="51" spans="1:209" s="8" customFormat="1" x14ac:dyDescent="0.25">
      <c r="A51" s="272"/>
      <c r="B51" s="58" t="s">
        <v>432</v>
      </c>
      <c r="C51" s="427">
        <f t="shared" si="13"/>
        <v>3</v>
      </c>
      <c r="D51" s="125"/>
      <c r="E51" s="125"/>
      <c r="F51" s="125">
        <v>3</v>
      </c>
      <c r="G51" s="125"/>
      <c r="H51" s="125"/>
      <c r="I51" s="427">
        <f t="shared" si="9"/>
        <v>0</v>
      </c>
      <c r="J51" s="125"/>
      <c r="K51" s="125"/>
      <c r="L51" s="125"/>
      <c r="M51" s="125"/>
      <c r="N51" s="125"/>
      <c r="O51" s="427">
        <f t="shared" si="14"/>
        <v>0</v>
      </c>
      <c r="P51" s="125"/>
      <c r="Q51" s="125"/>
      <c r="R51" s="125"/>
      <c r="S51" s="125"/>
      <c r="T51" s="125"/>
    </row>
    <row r="52" spans="1:209" s="8" customFormat="1" ht="31.5" x14ac:dyDescent="0.25">
      <c r="A52" s="272"/>
      <c r="B52" s="312" t="s">
        <v>809</v>
      </c>
      <c r="C52" s="427">
        <f t="shared" si="13"/>
        <v>15</v>
      </c>
      <c r="D52" s="408"/>
      <c r="E52" s="408"/>
      <c r="F52" s="125">
        <v>15</v>
      </c>
      <c r="G52" s="408"/>
      <c r="H52" s="408"/>
      <c r="I52" s="427">
        <f t="shared" si="9"/>
        <v>15</v>
      </c>
      <c r="J52" s="125"/>
      <c r="K52" s="125"/>
      <c r="L52" s="125">
        <v>15</v>
      </c>
      <c r="M52" s="125"/>
      <c r="N52" s="125"/>
      <c r="O52" s="427">
        <f t="shared" si="14"/>
        <v>15</v>
      </c>
      <c r="P52" s="125"/>
      <c r="Q52" s="125"/>
      <c r="R52" s="125">
        <v>15</v>
      </c>
      <c r="S52" s="125"/>
      <c r="T52" s="125"/>
      <c r="U52" s="8">
        <v>15</v>
      </c>
    </row>
    <row r="53" spans="1:209" s="283" customFormat="1" ht="47.25" x14ac:dyDescent="0.3">
      <c r="A53" s="551">
        <v>6</v>
      </c>
      <c r="B53" s="80" t="s">
        <v>1177</v>
      </c>
      <c r="C53" s="149">
        <f>SUM(D53:H53)</f>
        <v>1480</v>
      </c>
      <c r="D53" s="149">
        <v>0</v>
      </c>
      <c r="E53" s="149">
        <v>0</v>
      </c>
      <c r="F53" s="149">
        <f>SUM(F54+F61)</f>
        <v>1130</v>
      </c>
      <c r="G53" s="149">
        <f>SUM(G54+G61)</f>
        <v>350</v>
      </c>
      <c r="H53" s="149">
        <v>0</v>
      </c>
      <c r="I53" s="149">
        <f>SUM(J53:N53)</f>
        <v>1940</v>
      </c>
      <c r="J53" s="149">
        <v>0</v>
      </c>
      <c r="K53" s="149">
        <v>0</v>
      </c>
      <c r="L53" s="149">
        <f>SUM(L54+L61)</f>
        <v>1440</v>
      </c>
      <c r="M53" s="149">
        <f>SUM(M54+M61)</f>
        <v>500</v>
      </c>
      <c r="N53" s="149">
        <v>0</v>
      </c>
      <c r="O53" s="149">
        <f>SUM(P53:T53)</f>
        <v>1924.4753599999999</v>
      </c>
      <c r="P53" s="149">
        <v>0</v>
      </c>
      <c r="Q53" s="149">
        <v>0</v>
      </c>
      <c r="R53" s="149">
        <f>SUM(R54+R61)</f>
        <v>1424.4753599999999</v>
      </c>
      <c r="S53" s="149">
        <f>SUM(S54+S61)</f>
        <v>500</v>
      </c>
      <c r="T53" s="149">
        <v>0</v>
      </c>
      <c r="U53" s="149">
        <f>SUM(U54+U61)</f>
        <v>1828.8999999999999</v>
      </c>
      <c r="V53" s="735">
        <f>O53/I53*100</f>
        <v>99.19976082474227</v>
      </c>
      <c r="W53" s="734"/>
      <c r="X53" s="739"/>
      <c r="Y53" s="736"/>
      <c r="Z53" s="736"/>
      <c r="AA53" s="734"/>
      <c r="AB53" s="734"/>
      <c r="AC53" s="734"/>
      <c r="AD53" s="734"/>
      <c r="AE53" s="734"/>
      <c r="AF53" s="734"/>
      <c r="AG53" s="734"/>
      <c r="AH53" s="734"/>
      <c r="AI53" s="734"/>
      <c r="AJ53" s="734"/>
      <c r="AK53" s="734"/>
      <c r="AL53" s="734"/>
      <c r="AM53" s="734"/>
      <c r="AN53" s="734"/>
      <c r="AO53" s="734"/>
      <c r="AP53" s="734"/>
      <c r="AQ53" s="734"/>
      <c r="AR53" s="734"/>
      <c r="AS53" s="734"/>
      <c r="AT53" s="734"/>
      <c r="AU53" s="734"/>
      <c r="AV53" s="734"/>
      <c r="AW53" s="734"/>
      <c r="AX53" s="734"/>
      <c r="AY53" s="734"/>
      <c r="AZ53" s="734"/>
      <c r="BA53" s="734"/>
      <c r="BB53" s="734"/>
      <c r="BC53" s="734"/>
      <c r="BD53" s="734"/>
      <c r="BE53" s="734"/>
      <c r="BF53" s="734"/>
      <c r="BG53" s="734"/>
      <c r="BH53" s="734"/>
      <c r="BI53" s="734"/>
      <c r="BJ53" s="734"/>
      <c r="BK53" s="734"/>
      <c r="BL53" s="734"/>
      <c r="BM53" s="734"/>
      <c r="BN53" s="734"/>
      <c r="BO53" s="734"/>
      <c r="BP53" s="734"/>
      <c r="BQ53" s="734"/>
      <c r="BR53" s="734"/>
      <c r="BS53" s="734"/>
      <c r="BT53" s="734"/>
      <c r="BU53" s="734"/>
      <c r="BV53" s="734"/>
      <c r="BW53" s="734"/>
      <c r="BX53" s="734"/>
      <c r="BY53" s="734"/>
      <c r="BZ53" s="734"/>
      <c r="CA53" s="734"/>
      <c r="CB53" s="734"/>
      <c r="CC53" s="734"/>
      <c r="CD53" s="734"/>
      <c r="CE53" s="734"/>
      <c r="CF53" s="734"/>
      <c r="CG53" s="734"/>
      <c r="CH53" s="734"/>
      <c r="CI53" s="734"/>
      <c r="CJ53" s="734"/>
      <c r="CK53" s="734"/>
      <c r="CL53" s="734"/>
      <c r="CM53" s="734"/>
      <c r="CN53" s="734"/>
      <c r="CO53" s="734"/>
      <c r="CP53" s="734"/>
      <c r="CQ53" s="734"/>
      <c r="CR53" s="734"/>
      <c r="CS53" s="734"/>
      <c r="CT53" s="734"/>
      <c r="CU53" s="734"/>
      <c r="CV53" s="734"/>
      <c r="CW53" s="734"/>
      <c r="CX53" s="734"/>
      <c r="CY53" s="734"/>
      <c r="CZ53" s="734"/>
      <c r="DA53" s="734"/>
      <c r="DB53" s="734"/>
      <c r="DC53" s="734"/>
      <c r="DD53" s="734"/>
      <c r="DE53" s="734"/>
      <c r="DF53" s="734"/>
      <c r="DG53" s="734"/>
      <c r="DH53" s="734"/>
      <c r="DI53" s="734"/>
      <c r="DJ53" s="734"/>
      <c r="DK53" s="734"/>
      <c r="DL53" s="734"/>
      <c r="DM53" s="734"/>
      <c r="DN53" s="734"/>
      <c r="DO53" s="734"/>
      <c r="DP53" s="734"/>
      <c r="DQ53" s="734"/>
      <c r="DR53" s="734"/>
      <c r="DS53" s="734"/>
      <c r="DT53" s="734"/>
      <c r="DU53" s="734"/>
      <c r="DV53" s="734"/>
      <c r="DW53" s="734"/>
      <c r="DX53" s="734"/>
      <c r="DY53" s="734"/>
      <c r="DZ53" s="734"/>
      <c r="EA53" s="734"/>
      <c r="EB53" s="734"/>
      <c r="EC53" s="734"/>
      <c r="ED53" s="734"/>
      <c r="EE53" s="734"/>
      <c r="EF53" s="734"/>
      <c r="EG53" s="734"/>
      <c r="EH53" s="734"/>
      <c r="EI53" s="734"/>
      <c r="EJ53" s="734"/>
      <c r="EK53" s="734"/>
      <c r="EL53" s="734"/>
      <c r="EM53" s="734"/>
      <c r="EN53" s="734"/>
      <c r="EO53" s="734"/>
      <c r="EP53" s="734"/>
      <c r="EQ53" s="734"/>
      <c r="ER53" s="734"/>
      <c r="ES53" s="734"/>
      <c r="ET53" s="734"/>
      <c r="EU53" s="734"/>
      <c r="EV53" s="734"/>
      <c r="EW53" s="734"/>
      <c r="EX53" s="734"/>
      <c r="EY53" s="734"/>
      <c r="EZ53" s="734"/>
      <c r="FA53" s="734"/>
      <c r="FB53" s="734"/>
      <c r="FC53" s="734"/>
      <c r="FD53" s="734"/>
      <c r="FE53" s="734"/>
      <c r="FF53" s="734"/>
      <c r="FG53" s="734"/>
      <c r="FH53" s="734"/>
      <c r="FI53" s="734"/>
      <c r="FJ53" s="734"/>
      <c r="FK53" s="734"/>
      <c r="FL53" s="734"/>
      <c r="FM53" s="734"/>
      <c r="FN53" s="734"/>
      <c r="FO53" s="734"/>
      <c r="FP53" s="734"/>
      <c r="FQ53" s="734"/>
      <c r="FR53" s="734"/>
      <c r="FS53" s="734"/>
      <c r="FT53" s="734"/>
      <c r="FU53" s="734"/>
      <c r="FV53" s="734"/>
      <c r="FW53" s="734"/>
      <c r="FX53" s="734"/>
      <c r="FY53" s="734"/>
      <c r="FZ53" s="734"/>
      <c r="GA53" s="734"/>
      <c r="GB53" s="734"/>
      <c r="GC53" s="734"/>
      <c r="GD53" s="734"/>
      <c r="GE53" s="734"/>
      <c r="GF53" s="734"/>
      <c r="GG53" s="734"/>
      <c r="GH53" s="734"/>
      <c r="GI53" s="734"/>
      <c r="GJ53" s="734"/>
      <c r="GK53" s="734"/>
      <c r="GL53" s="734"/>
      <c r="GM53" s="734"/>
      <c r="GN53" s="734"/>
      <c r="GO53" s="734"/>
      <c r="GP53" s="734"/>
      <c r="GQ53" s="734"/>
      <c r="GR53" s="734"/>
      <c r="GS53" s="734"/>
      <c r="GT53" s="734"/>
      <c r="GU53" s="734"/>
      <c r="GV53" s="734"/>
      <c r="GW53" s="734"/>
      <c r="GX53" s="734"/>
      <c r="GY53" s="734"/>
      <c r="GZ53" s="734"/>
      <c r="HA53" s="734"/>
    </row>
    <row r="54" spans="1:209" s="8" customFormat="1" ht="31.5" x14ac:dyDescent="0.25">
      <c r="A54" s="272" t="s">
        <v>736</v>
      </c>
      <c r="B54" s="296" t="s">
        <v>434</v>
      </c>
      <c r="C54" s="124">
        <f t="shared" ref="C54:C64" si="15">SUM(D54:H54)</f>
        <v>944</v>
      </c>
      <c r="D54" s="417"/>
      <c r="E54" s="417"/>
      <c r="F54" s="417">
        <f>F55+F58</f>
        <v>594</v>
      </c>
      <c r="G54" s="417">
        <f>G55+G58</f>
        <v>350</v>
      </c>
      <c r="H54" s="417"/>
      <c r="I54" s="124">
        <f t="shared" ref="I54:I64" si="16">SUM(J54:N54)</f>
        <v>1530</v>
      </c>
      <c r="J54" s="417"/>
      <c r="K54" s="420"/>
      <c r="L54" s="417">
        <f>L55+L58</f>
        <v>1030</v>
      </c>
      <c r="M54" s="417">
        <f>M55+M58</f>
        <v>500</v>
      </c>
      <c r="N54" s="420"/>
      <c r="O54" s="124">
        <f t="shared" ref="O54:O64" si="17">SUM(P54:T54)</f>
        <v>1514.4753599999999</v>
      </c>
      <c r="P54" s="420"/>
      <c r="Q54" s="420"/>
      <c r="R54" s="417">
        <f>R55+R58</f>
        <v>1014.4753599999999</v>
      </c>
      <c r="S54" s="417">
        <f>S55+S58</f>
        <v>500</v>
      </c>
      <c r="T54" s="420"/>
      <c r="U54" s="417">
        <f>U55+U58</f>
        <v>1242.8999999999999</v>
      </c>
    </row>
    <row r="55" spans="1:209" s="305" customFormat="1" x14ac:dyDescent="0.25">
      <c r="A55" s="298" t="s">
        <v>750</v>
      </c>
      <c r="B55" s="299" t="s">
        <v>751</v>
      </c>
      <c r="C55" s="425">
        <f t="shared" si="15"/>
        <v>24</v>
      </c>
      <c r="D55" s="429"/>
      <c r="E55" s="429"/>
      <c r="F55" s="429">
        <f>SUM(F56:F57)</f>
        <v>24</v>
      </c>
      <c r="G55" s="429"/>
      <c r="H55" s="429"/>
      <c r="I55" s="425">
        <f t="shared" si="16"/>
        <v>391.8</v>
      </c>
      <c r="J55" s="429"/>
      <c r="K55" s="424"/>
      <c r="L55" s="429">
        <f>SUM(L56:L57)</f>
        <v>391.8</v>
      </c>
      <c r="M55" s="429"/>
      <c r="N55" s="424"/>
      <c r="O55" s="425">
        <f t="shared" si="17"/>
        <v>391.46695999999997</v>
      </c>
      <c r="P55" s="424"/>
      <c r="Q55" s="424"/>
      <c r="R55" s="429">
        <f>SUM(R56:R57)</f>
        <v>391.46695999999997</v>
      </c>
      <c r="S55" s="429"/>
      <c r="T55" s="424"/>
      <c r="U55" s="305">
        <v>141.80000000000001</v>
      </c>
    </row>
    <row r="56" spans="1:209" s="8" customFormat="1" ht="31.5" x14ac:dyDescent="0.25">
      <c r="A56" s="272" t="s">
        <v>752</v>
      </c>
      <c r="B56" s="431" t="s">
        <v>436</v>
      </c>
      <c r="C56" s="427">
        <f t="shared" si="15"/>
        <v>24</v>
      </c>
      <c r="D56" s="408"/>
      <c r="E56" s="408"/>
      <c r="F56" s="129">
        <v>24</v>
      </c>
      <c r="G56" s="408"/>
      <c r="H56" s="408"/>
      <c r="I56" s="427">
        <f t="shared" si="16"/>
        <v>24</v>
      </c>
      <c r="J56" s="125"/>
      <c r="K56" s="125"/>
      <c r="L56" s="408">
        <v>24</v>
      </c>
      <c r="M56" s="125"/>
      <c r="N56" s="125"/>
      <c r="O56" s="427">
        <f t="shared" si="17"/>
        <v>24</v>
      </c>
      <c r="P56" s="125"/>
      <c r="Q56" s="125"/>
      <c r="R56" s="408">
        <v>24</v>
      </c>
      <c r="S56" s="125"/>
      <c r="T56" s="125"/>
    </row>
    <row r="57" spans="1:209" s="8" customFormat="1" ht="31.5" x14ac:dyDescent="0.25">
      <c r="A57" s="272" t="s">
        <v>753</v>
      </c>
      <c r="B57" s="431" t="s">
        <v>438</v>
      </c>
      <c r="C57" s="427">
        <f t="shared" si="15"/>
        <v>0</v>
      </c>
      <c r="D57" s="408"/>
      <c r="E57" s="408"/>
      <c r="F57" s="408">
        <v>0</v>
      </c>
      <c r="G57" s="408"/>
      <c r="H57" s="408"/>
      <c r="I57" s="427">
        <f t="shared" si="16"/>
        <v>367.8</v>
      </c>
      <c r="J57" s="125"/>
      <c r="K57" s="125"/>
      <c r="L57" s="125">
        <v>367.8</v>
      </c>
      <c r="M57" s="125"/>
      <c r="N57" s="125"/>
      <c r="O57" s="427">
        <f t="shared" si="17"/>
        <v>367.46695999999997</v>
      </c>
      <c r="P57" s="125"/>
      <c r="Q57" s="125"/>
      <c r="R57" s="125">
        <v>367.46695999999997</v>
      </c>
      <c r="S57" s="125"/>
      <c r="T57" s="125"/>
    </row>
    <row r="58" spans="1:209" s="305" customFormat="1" ht="47.25" x14ac:dyDescent="0.25">
      <c r="A58" s="298" t="s">
        <v>754</v>
      </c>
      <c r="B58" s="308" t="s">
        <v>755</v>
      </c>
      <c r="C58" s="425">
        <f t="shared" si="15"/>
        <v>920</v>
      </c>
      <c r="D58" s="426"/>
      <c r="E58" s="426"/>
      <c r="F58" s="426">
        <f>SUM(F59:F60)</f>
        <v>570</v>
      </c>
      <c r="G58" s="426">
        <f>SUM(G59:G60)</f>
        <v>350</v>
      </c>
      <c r="H58" s="426"/>
      <c r="I58" s="425">
        <f t="shared" si="16"/>
        <v>1138.2</v>
      </c>
      <c r="J58" s="424"/>
      <c r="K58" s="424"/>
      <c r="L58" s="424">
        <f>SUM(L59:L60)</f>
        <v>638.20000000000005</v>
      </c>
      <c r="M58" s="424">
        <f>SUM(M59:M60)</f>
        <v>500</v>
      </c>
      <c r="N58" s="424"/>
      <c r="O58" s="425">
        <f t="shared" si="17"/>
        <v>1123.0083999999999</v>
      </c>
      <c r="P58" s="424"/>
      <c r="Q58" s="424"/>
      <c r="R58" s="424">
        <f>SUM(R59:R60)</f>
        <v>623.00839999999994</v>
      </c>
      <c r="S58" s="424">
        <f>SUM(S59:S60)</f>
        <v>500</v>
      </c>
      <c r="T58" s="424"/>
      <c r="U58" s="305">
        <f>601.1+500</f>
        <v>1101.0999999999999</v>
      </c>
    </row>
    <row r="59" spans="1:209" s="8" customFormat="1" x14ac:dyDescent="0.25">
      <c r="A59" s="272" t="s">
        <v>756</v>
      </c>
      <c r="B59" s="347" t="s">
        <v>435</v>
      </c>
      <c r="C59" s="427">
        <f t="shared" si="15"/>
        <v>700</v>
      </c>
      <c r="D59" s="408"/>
      <c r="E59" s="408"/>
      <c r="F59" s="129">
        <v>350</v>
      </c>
      <c r="G59" s="129">
        <v>350</v>
      </c>
      <c r="H59" s="408"/>
      <c r="I59" s="427">
        <f t="shared" si="16"/>
        <v>1000</v>
      </c>
      <c r="J59" s="125"/>
      <c r="K59" s="125"/>
      <c r="L59" s="125">
        <v>500</v>
      </c>
      <c r="M59" s="125">
        <v>500</v>
      </c>
      <c r="N59" s="125"/>
      <c r="O59" s="427">
        <f t="shared" si="17"/>
        <v>1000</v>
      </c>
      <c r="P59" s="125"/>
      <c r="Q59" s="125"/>
      <c r="R59" s="125">
        <v>500</v>
      </c>
      <c r="S59" s="125">
        <v>500</v>
      </c>
      <c r="T59" s="125"/>
    </row>
    <row r="60" spans="1:209" s="8" customFormat="1" ht="47.25" x14ac:dyDescent="0.25">
      <c r="A60" s="272" t="s">
        <v>757</v>
      </c>
      <c r="B60" s="431" t="s">
        <v>437</v>
      </c>
      <c r="C60" s="427">
        <f t="shared" si="15"/>
        <v>220</v>
      </c>
      <c r="D60" s="408"/>
      <c r="E60" s="408"/>
      <c r="F60" s="408">
        <v>220</v>
      </c>
      <c r="G60" s="408"/>
      <c r="H60" s="408"/>
      <c r="I60" s="427">
        <f t="shared" si="16"/>
        <v>138.19999999999999</v>
      </c>
      <c r="J60" s="125"/>
      <c r="K60" s="125"/>
      <c r="L60" s="125">
        <v>138.19999999999999</v>
      </c>
      <c r="M60" s="125"/>
      <c r="N60" s="125"/>
      <c r="O60" s="427">
        <f t="shared" si="17"/>
        <v>123.00839999999999</v>
      </c>
      <c r="P60" s="125"/>
      <c r="Q60" s="125"/>
      <c r="R60" s="125">
        <v>123.00839999999999</v>
      </c>
      <c r="S60" s="125"/>
      <c r="T60" s="125"/>
    </row>
    <row r="61" spans="1:209" s="8" customFormat="1" x14ac:dyDescent="0.25">
      <c r="A61" s="272" t="s">
        <v>737</v>
      </c>
      <c r="B61" s="313" t="s">
        <v>439</v>
      </c>
      <c r="C61" s="124">
        <f t="shared" si="15"/>
        <v>536</v>
      </c>
      <c r="D61" s="407"/>
      <c r="E61" s="407"/>
      <c r="F61" s="407">
        <f>SUM(F62:F64)</f>
        <v>536</v>
      </c>
      <c r="G61" s="407"/>
      <c r="H61" s="407"/>
      <c r="I61" s="124">
        <f t="shared" si="16"/>
        <v>410</v>
      </c>
      <c r="J61" s="125"/>
      <c r="K61" s="125"/>
      <c r="L61" s="407">
        <f>SUM(L62:L64)</f>
        <v>410</v>
      </c>
      <c r="M61" s="125"/>
      <c r="N61" s="125"/>
      <c r="O61" s="124">
        <f t="shared" si="17"/>
        <v>410</v>
      </c>
      <c r="P61" s="125"/>
      <c r="Q61" s="125"/>
      <c r="R61" s="407">
        <f>SUM(R62:R64)</f>
        <v>410</v>
      </c>
      <c r="S61" s="125"/>
      <c r="T61" s="125"/>
      <c r="U61" s="8">
        <v>586</v>
      </c>
    </row>
    <row r="62" spans="1:209" s="8" customFormat="1" x14ac:dyDescent="0.25">
      <c r="A62" s="433" t="s">
        <v>742</v>
      </c>
      <c r="B62" s="306" t="s">
        <v>440</v>
      </c>
      <c r="C62" s="427">
        <f t="shared" si="15"/>
        <v>150</v>
      </c>
      <c r="D62" s="408"/>
      <c r="E62" s="408"/>
      <c r="F62" s="408">
        <v>150</v>
      </c>
      <c r="G62" s="408"/>
      <c r="H62" s="408"/>
      <c r="I62" s="427">
        <f t="shared" si="16"/>
        <v>60</v>
      </c>
      <c r="J62" s="125"/>
      <c r="K62" s="125"/>
      <c r="L62" s="125">
        <v>60</v>
      </c>
      <c r="M62" s="125"/>
      <c r="N62" s="125"/>
      <c r="O62" s="427">
        <f t="shared" si="17"/>
        <v>60</v>
      </c>
      <c r="P62" s="125"/>
      <c r="Q62" s="125"/>
      <c r="R62" s="125">
        <v>60</v>
      </c>
      <c r="S62" s="125"/>
      <c r="T62" s="125"/>
    </row>
    <row r="63" spans="1:209" s="8" customFormat="1" ht="47.25" x14ac:dyDescent="0.25">
      <c r="A63" s="433" t="s">
        <v>743</v>
      </c>
      <c r="B63" s="306" t="s">
        <v>441</v>
      </c>
      <c r="C63" s="427">
        <f t="shared" si="15"/>
        <v>386</v>
      </c>
      <c r="D63" s="408"/>
      <c r="E63" s="408"/>
      <c r="F63" s="408">
        <v>386</v>
      </c>
      <c r="G63" s="408"/>
      <c r="H63" s="408"/>
      <c r="I63" s="427">
        <f t="shared" si="16"/>
        <v>300</v>
      </c>
      <c r="J63" s="125"/>
      <c r="K63" s="125"/>
      <c r="L63" s="125">
        <v>300</v>
      </c>
      <c r="M63" s="125"/>
      <c r="N63" s="125"/>
      <c r="O63" s="427">
        <f t="shared" si="17"/>
        <v>300</v>
      </c>
      <c r="P63" s="125"/>
      <c r="Q63" s="125"/>
      <c r="R63" s="125">
        <v>300</v>
      </c>
      <c r="S63" s="125"/>
      <c r="T63" s="125"/>
    </row>
    <row r="64" spans="1:209" s="8" customFormat="1" ht="47.25" x14ac:dyDescent="0.25">
      <c r="A64" s="433" t="s">
        <v>758</v>
      </c>
      <c r="B64" s="306" t="s">
        <v>442</v>
      </c>
      <c r="C64" s="427">
        <f t="shared" si="15"/>
        <v>0</v>
      </c>
      <c r="D64" s="408"/>
      <c r="E64" s="408"/>
      <c r="F64" s="408">
        <v>0</v>
      </c>
      <c r="G64" s="125"/>
      <c r="H64" s="125"/>
      <c r="I64" s="427">
        <f t="shared" si="16"/>
        <v>50</v>
      </c>
      <c r="J64" s="125"/>
      <c r="K64" s="125"/>
      <c r="L64" s="125">
        <v>50</v>
      </c>
      <c r="M64" s="125"/>
      <c r="N64" s="125"/>
      <c r="O64" s="427">
        <f t="shared" si="17"/>
        <v>50</v>
      </c>
      <c r="P64" s="125"/>
      <c r="Q64" s="125"/>
      <c r="R64" s="126">
        <v>50</v>
      </c>
      <c r="S64" s="125"/>
      <c r="T64" s="125"/>
    </row>
    <row r="65" spans="1:209" s="283" customFormat="1" ht="110.25" x14ac:dyDescent="0.3">
      <c r="A65" s="551">
        <v>7</v>
      </c>
      <c r="B65" s="317" t="s">
        <v>1178</v>
      </c>
      <c r="C65" s="149">
        <f>SUM(D65:H65)</f>
        <v>1181.8</v>
      </c>
      <c r="D65" s="149">
        <v>0</v>
      </c>
      <c r="E65" s="149">
        <v>0</v>
      </c>
      <c r="F65" s="149">
        <f>SUM(F66+F67+F73)</f>
        <v>1181.8</v>
      </c>
      <c r="G65" s="149">
        <v>0</v>
      </c>
      <c r="H65" s="149">
        <v>0</v>
      </c>
      <c r="I65" s="149">
        <f t="shared" ref="I65:I117" si="18">SUM(J65:N65)</f>
        <v>1918.3200000000002</v>
      </c>
      <c r="J65" s="149">
        <v>0</v>
      </c>
      <c r="K65" s="149">
        <f>SUM(K66+K67+K73)</f>
        <v>0</v>
      </c>
      <c r="L65" s="149">
        <f>SUM(L66+L67+L73)</f>
        <v>1918.3200000000002</v>
      </c>
      <c r="M65" s="149">
        <v>0</v>
      </c>
      <c r="N65" s="149">
        <v>0</v>
      </c>
      <c r="O65" s="149">
        <f t="shared" ref="O65:O91" si="19">SUM(P65:T65)</f>
        <v>1894.69229</v>
      </c>
      <c r="P65" s="149">
        <v>0</v>
      </c>
      <c r="Q65" s="149">
        <f>SUM(Q66+Q67+Q73)</f>
        <v>0</v>
      </c>
      <c r="R65" s="149">
        <f>SUM(R66+R67+R73)</f>
        <v>1894.69229</v>
      </c>
      <c r="S65" s="149">
        <v>0</v>
      </c>
      <c r="T65" s="149">
        <v>0</v>
      </c>
      <c r="U65" s="149">
        <f>SUM(U66+U67+U73)</f>
        <v>1607.27</v>
      </c>
      <c r="V65" s="735">
        <f>O65/I65*100</f>
        <v>98.768312377496969</v>
      </c>
      <c r="W65" s="734"/>
      <c r="X65" s="739"/>
      <c r="Y65" s="736"/>
      <c r="Z65" s="736"/>
      <c r="AA65" s="734"/>
      <c r="AB65" s="734"/>
      <c r="AC65" s="734"/>
      <c r="AD65" s="734"/>
      <c r="AE65" s="734"/>
      <c r="AF65" s="734"/>
      <c r="AG65" s="734"/>
      <c r="AH65" s="734"/>
      <c r="AI65" s="734"/>
      <c r="AJ65" s="734"/>
      <c r="AK65" s="734"/>
      <c r="AL65" s="734"/>
      <c r="AM65" s="734"/>
      <c r="AN65" s="734"/>
      <c r="AO65" s="734"/>
      <c r="AP65" s="734"/>
      <c r="AQ65" s="734"/>
      <c r="AR65" s="734"/>
      <c r="AS65" s="734"/>
      <c r="AT65" s="734"/>
      <c r="AU65" s="734"/>
      <c r="AV65" s="734"/>
      <c r="AW65" s="734"/>
      <c r="AX65" s="734"/>
      <c r="AY65" s="734"/>
      <c r="AZ65" s="734"/>
      <c r="BA65" s="734"/>
      <c r="BB65" s="734"/>
      <c r="BC65" s="734"/>
      <c r="BD65" s="734"/>
      <c r="BE65" s="734"/>
      <c r="BF65" s="734"/>
      <c r="BG65" s="734"/>
      <c r="BH65" s="734"/>
      <c r="BI65" s="734"/>
      <c r="BJ65" s="734"/>
      <c r="BK65" s="734"/>
      <c r="BL65" s="734"/>
      <c r="BM65" s="734"/>
      <c r="BN65" s="734"/>
      <c r="BO65" s="734"/>
      <c r="BP65" s="734"/>
      <c r="BQ65" s="734"/>
      <c r="BR65" s="734"/>
      <c r="BS65" s="734"/>
      <c r="BT65" s="734"/>
      <c r="BU65" s="734"/>
      <c r="BV65" s="734"/>
      <c r="BW65" s="734"/>
      <c r="BX65" s="734"/>
      <c r="BY65" s="734"/>
      <c r="BZ65" s="734"/>
      <c r="CA65" s="734"/>
      <c r="CB65" s="734"/>
      <c r="CC65" s="734"/>
      <c r="CD65" s="734"/>
      <c r="CE65" s="734"/>
      <c r="CF65" s="734"/>
      <c r="CG65" s="734"/>
      <c r="CH65" s="734"/>
      <c r="CI65" s="734"/>
      <c r="CJ65" s="734"/>
      <c r="CK65" s="734"/>
      <c r="CL65" s="734"/>
      <c r="CM65" s="734"/>
      <c r="CN65" s="734"/>
      <c r="CO65" s="734"/>
      <c r="CP65" s="734"/>
      <c r="CQ65" s="734"/>
      <c r="CR65" s="734"/>
      <c r="CS65" s="734"/>
      <c r="CT65" s="734"/>
      <c r="CU65" s="734"/>
      <c r="CV65" s="734"/>
      <c r="CW65" s="734"/>
      <c r="CX65" s="734"/>
      <c r="CY65" s="734"/>
      <c r="CZ65" s="734"/>
      <c r="DA65" s="734"/>
      <c r="DB65" s="734"/>
      <c r="DC65" s="734"/>
      <c r="DD65" s="734"/>
      <c r="DE65" s="734"/>
      <c r="DF65" s="734"/>
      <c r="DG65" s="734"/>
      <c r="DH65" s="734"/>
      <c r="DI65" s="734"/>
      <c r="DJ65" s="734"/>
      <c r="DK65" s="734"/>
      <c r="DL65" s="734"/>
      <c r="DM65" s="734"/>
      <c r="DN65" s="734"/>
      <c r="DO65" s="734"/>
      <c r="DP65" s="734"/>
      <c r="DQ65" s="734"/>
      <c r="DR65" s="734"/>
      <c r="DS65" s="734"/>
      <c r="DT65" s="734"/>
      <c r="DU65" s="734"/>
      <c r="DV65" s="734"/>
      <c r="DW65" s="734"/>
      <c r="DX65" s="734"/>
      <c r="DY65" s="734"/>
      <c r="DZ65" s="734"/>
      <c r="EA65" s="734"/>
      <c r="EB65" s="734"/>
      <c r="EC65" s="734"/>
      <c r="ED65" s="734"/>
      <c r="EE65" s="734"/>
      <c r="EF65" s="734"/>
      <c r="EG65" s="734"/>
      <c r="EH65" s="734"/>
      <c r="EI65" s="734"/>
      <c r="EJ65" s="734"/>
      <c r="EK65" s="734"/>
      <c r="EL65" s="734"/>
      <c r="EM65" s="734"/>
      <c r="EN65" s="734"/>
      <c r="EO65" s="734"/>
      <c r="EP65" s="734"/>
      <c r="EQ65" s="734"/>
      <c r="ER65" s="734"/>
      <c r="ES65" s="734"/>
      <c r="ET65" s="734"/>
      <c r="EU65" s="734"/>
      <c r="EV65" s="734"/>
      <c r="EW65" s="734"/>
      <c r="EX65" s="734"/>
      <c r="EY65" s="734"/>
      <c r="EZ65" s="734"/>
      <c r="FA65" s="734"/>
      <c r="FB65" s="734"/>
      <c r="FC65" s="734"/>
      <c r="FD65" s="734"/>
      <c r="FE65" s="734"/>
      <c r="FF65" s="734"/>
      <c r="FG65" s="734"/>
      <c r="FH65" s="734"/>
      <c r="FI65" s="734"/>
      <c r="FJ65" s="734"/>
      <c r="FK65" s="734"/>
      <c r="FL65" s="734"/>
      <c r="FM65" s="734"/>
      <c r="FN65" s="734"/>
      <c r="FO65" s="734"/>
      <c r="FP65" s="734"/>
      <c r="FQ65" s="734"/>
      <c r="FR65" s="734"/>
      <c r="FS65" s="734"/>
      <c r="FT65" s="734"/>
      <c r="FU65" s="734"/>
      <c r="FV65" s="734"/>
      <c r="FW65" s="734"/>
      <c r="FX65" s="734"/>
      <c r="FY65" s="734"/>
      <c r="FZ65" s="734"/>
      <c r="GA65" s="734"/>
      <c r="GB65" s="734"/>
      <c r="GC65" s="734"/>
      <c r="GD65" s="734"/>
      <c r="GE65" s="734"/>
      <c r="GF65" s="734"/>
      <c r="GG65" s="734"/>
      <c r="GH65" s="734"/>
      <c r="GI65" s="734"/>
      <c r="GJ65" s="734"/>
      <c r="GK65" s="734"/>
      <c r="GL65" s="734"/>
      <c r="GM65" s="734"/>
      <c r="GN65" s="734"/>
      <c r="GO65" s="734"/>
      <c r="GP65" s="734"/>
      <c r="GQ65" s="734"/>
      <c r="GR65" s="734"/>
      <c r="GS65" s="734"/>
      <c r="GT65" s="734"/>
      <c r="GU65" s="734"/>
      <c r="GV65" s="734"/>
      <c r="GW65" s="734"/>
      <c r="GX65" s="734"/>
      <c r="GY65" s="734"/>
      <c r="GZ65" s="734"/>
      <c r="HA65" s="734"/>
    </row>
    <row r="66" spans="1:209" s="8" customFormat="1" x14ac:dyDescent="0.25">
      <c r="A66" s="272"/>
      <c r="B66" s="318" t="s">
        <v>443</v>
      </c>
      <c r="C66" s="124">
        <f t="shared" ref="C66:C74" si="20">SUM(D66:H66)</f>
        <v>698.8</v>
      </c>
      <c r="D66" s="420"/>
      <c r="E66" s="420"/>
      <c r="F66" s="420">
        <v>698.8</v>
      </c>
      <c r="G66" s="420"/>
      <c r="H66" s="407"/>
      <c r="I66" s="124">
        <f t="shared" si="18"/>
        <v>705.32</v>
      </c>
      <c r="J66" s="420"/>
      <c r="K66" s="420"/>
      <c r="L66" s="420">
        <v>705.32</v>
      </c>
      <c r="M66" s="420"/>
      <c r="N66" s="420"/>
      <c r="O66" s="124">
        <f t="shared" si="19"/>
        <v>699.23248999999998</v>
      </c>
      <c r="P66" s="420"/>
      <c r="Q66" s="420"/>
      <c r="R66" s="420">
        <v>699.23248999999998</v>
      </c>
      <c r="S66" s="420"/>
      <c r="T66" s="420"/>
      <c r="U66" s="420">
        <v>507.27</v>
      </c>
    </row>
    <row r="67" spans="1:209" s="8" customFormat="1" ht="63" x14ac:dyDescent="0.25">
      <c r="A67" s="272"/>
      <c r="B67" s="319" t="s">
        <v>762</v>
      </c>
      <c r="C67" s="124">
        <f t="shared" si="20"/>
        <v>483</v>
      </c>
      <c r="D67" s="408"/>
      <c r="E67" s="408"/>
      <c r="F67" s="420">
        <f>SUM(F68:F72)</f>
        <v>483</v>
      </c>
      <c r="G67" s="408"/>
      <c r="H67" s="408"/>
      <c r="I67" s="124">
        <f t="shared" si="18"/>
        <v>513</v>
      </c>
      <c r="J67" s="125"/>
      <c r="K67" s="420"/>
      <c r="L67" s="420">
        <f>SUM(L68:L72)</f>
        <v>513</v>
      </c>
      <c r="M67" s="125"/>
      <c r="N67" s="125"/>
      <c r="O67" s="124">
        <f t="shared" si="19"/>
        <v>500.67580000000004</v>
      </c>
      <c r="P67" s="420"/>
      <c r="Q67" s="420"/>
      <c r="R67" s="420">
        <f>SUM(R68:R72)</f>
        <v>500.67580000000004</v>
      </c>
      <c r="S67" s="420"/>
      <c r="T67" s="420"/>
      <c r="U67" s="420">
        <f>SUM(U68:U72)</f>
        <v>400</v>
      </c>
    </row>
    <row r="68" spans="1:209" s="8" customFormat="1" ht="47.25" x14ac:dyDescent="0.25">
      <c r="A68" s="272"/>
      <c r="B68" s="586" t="s">
        <v>444</v>
      </c>
      <c r="C68" s="427">
        <f t="shared" si="20"/>
        <v>120</v>
      </c>
      <c r="D68" s="408"/>
      <c r="E68" s="408"/>
      <c r="F68" s="125">
        <v>120</v>
      </c>
      <c r="G68" s="408"/>
      <c r="H68" s="408"/>
      <c r="I68" s="427">
        <f t="shared" si="18"/>
        <v>0</v>
      </c>
      <c r="J68" s="125"/>
      <c r="K68" s="125"/>
      <c r="L68" s="125">
        <v>0</v>
      </c>
      <c r="M68" s="125"/>
      <c r="N68" s="125"/>
      <c r="O68" s="427">
        <f t="shared" si="19"/>
        <v>0</v>
      </c>
      <c r="P68" s="125"/>
      <c r="Q68" s="125"/>
      <c r="R68" s="125">
        <v>0</v>
      </c>
      <c r="S68" s="125"/>
      <c r="T68" s="125"/>
      <c r="U68" s="8">
        <v>120</v>
      </c>
    </row>
    <row r="69" spans="1:209" s="8" customFormat="1" ht="31.5" x14ac:dyDescent="0.25">
      <c r="A69" s="272"/>
      <c r="B69" s="586" t="s">
        <v>763</v>
      </c>
      <c r="C69" s="427">
        <f t="shared" si="20"/>
        <v>280</v>
      </c>
      <c r="D69" s="408"/>
      <c r="E69" s="408"/>
      <c r="F69" s="125">
        <v>280</v>
      </c>
      <c r="G69" s="408"/>
      <c r="H69" s="408"/>
      <c r="I69" s="427">
        <f t="shared" si="18"/>
        <v>280</v>
      </c>
      <c r="J69" s="125"/>
      <c r="K69" s="125"/>
      <c r="L69" s="125">
        <v>280</v>
      </c>
      <c r="M69" s="125"/>
      <c r="N69" s="125"/>
      <c r="O69" s="427">
        <f t="shared" si="19"/>
        <v>267.82580000000002</v>
      </c>
      <c r="P69" s="125"/>
      <c r="Q69" s="125"/>
      <c r="R69" s="125">
        <v>267.82580000000002</v>
      </c>
      <c r="S69" s="125"/>
      <c r="T69" s="125"/>
      <c r="U69" s="8">
        <v>280</v>
      </c>
    </row>
    <row r="70" spans="1:209" s="8" customFormat="1" x14ac:dyDescent="0.25">
      <c r="A70" s="272"/>
      <c r="B70" s="289" t="s">
        <v>445</v>
      </c>
      <c r="C70" s="427">
        <f t="shared" si="20"/>
        <v>42.65</v>
      </c>
      <c r="D70" s="408"/>
      <c r="E70" s="408"/>
      <c r="F70" s="125">
        <v>42.65</v>
      </c>
      <c r="G70" s="408"/>
      <c r="H70" s="408"/>
      <c r="I70" s="427">
        <f t="shared" si="18"/>
        <v>42.65</v>
      </c>
      <c r="J70" s="125"/>
      <c r="K70" s="125"/>
      <c r="L70" s="125">
        <v>42.65</v>
      </c>
      <c r="M70" s="125"/>
      <c r="N70" s="125"/>
      <c r="O70" s="427">
        <f t="shared" si="19"/>
        <v>42.5</v>
      </c>
      <c r="P70" s="125"/>
      <c r="Q70" s="125"/>
      <c r="R70" s="125">
        <v>42.5</v>
      </c>
      <c r="S70" s="125"/>
      <c r="T70" s="125"/>
    </row>
    <row r="71" spans="1:209" s="8" customFormat="1" ht="31.5" x14ac:dyDescent="0.25">
      <c r="A71" s="272"/>
      <c r="B71" s="587" t="s">
        <v>446</v>
      </c>
      <c r="C71" s="427">
        <f>SUM(D71:H71)</f>
        <v>35.35</v>
      </c>
      <c r="D71" s="408"/>
      <c r="E71" s="408"/>
      <c r="F71" s="125">
        <v>35.35</v>
      </c>
      <c r="G71" s="408"/>
      <c r="H71" s="408"/>
      <c r="I71" s="427">
        <f>SUM(J71:N71)</f>
        <v>35.35</v>
      </c>
      <c r="J71" s="125"/>
      <c r="K71" s="125"/>
      <c r="L71" s="125">
        <v>35.35</v>
      </c>
      <c r="M71" s="125"/>
      <c r="N71" s="125"/>
      <c r="O71" s="427">
        <f>SUM(P71:T71)</f>
        <v>35.35</v>
      </c>
      <c r="P71" s="125"/>
      <c r="Q71" s="125"/>
      <c r="R71" s="125">
        <v>35.35</v>
      </c>
      <c r="S71" s="125"/>
      <c r="T71" s="125"/>
    </row>
    <row r="72" spans="1:209" s="8" customFormat="1" x14ac:dyDescent="0.25">
      <c r="A72" s="272"/>
      <c r="B72" s="587" t="s">
        <v>447</v>
      </c>
      <c r="C72" s="427">
        <f>SUM(D72:H72)</f>
        <v>5</v>
      </c>
      <c r="D72" s="408"/>
      <c r="E72" s="408"/>
      <c r="F72" s="125">
        <v>5</v>
      </c>
      <c r="G72" s="408"/>
      <c r="H72" s="408"/>
      <c r="I72" s="427">
        <f>SUM(J72:N72)</f>
        <v>155</v>
      </c>
      <c r="J72" s="125"/>
      <c r="K72" s="125"/>
      <c r="L72" s="125">
        <v>155</v>
      </c>
      <c r="M72" s="125"/>
      <c r="N72" s="125"/>
      <c r="O72" s="427">
        <f>SUM(P72:T72)</f>
        <v>155</v>
      </c>
      <c r="P72" s="125"/>
      <c r="Q72" s="125"/>
      <c r="R72" s="125">
        <v>155</v>
      </c>
      <c r="S72" s="125"/>
      <c r="T72" s="125"/>
    </row>
    <row r="73" spans="1:209" s="8" customFormat="1" ht="31.5" x14ac:dyDescent="0.25">
      <c r="A73" s="272"/>
      <c r="B73" s="319" t="s">
        <v>764</v>
      </c>
      <c r="C73" s="124">
        <f t="shared" si="20"/>
        <v>0</v>
      </c>
      <c r="D73" s="420"/>
      <c r="E73" s="420"/>
      <c r="F73" s="420">
        <f>SUM(F74)</f>
        <v>0</v>
      </c>
      <c r="G73" s="420"/>
      <c r="H73" s="407"/>
      <c r="I73" s="124">
        <f t="shared" si="18"/>
        <v>700</v>
      </c>
      <c r="J73" s="420"/>
      <c r="K73" s="420"/>
      <c r="L73" s="420">
        <f>SUM(L74)</f>
        <v>700</v>
      </c>
      <c r="M73" s="420"/>
      <c r="N73" s="420"/>
      <c r="O73" s="124">
        <f t="shared" si="19"/>
        <v>694.78399999999999</v>
      </c>
      <c r="P73" s="420"/>
      <c r="Q73" s="420"/>
      <c r="R73" s="420">
        <f>SUM(R74)</f>
        <v>694.78399999999999</v>
      </c>
      <c r="S73" s="420"/>
      <c r="T73" s="420"/>
      <c r="U73" s="420">
        <f>SUM(U74)</f>
        <v>700</v>
      </c>
    </row>
    <row r="74" spans="1:209" s="8" customFormat="1" ht="94.5" x14ac:dyDescent="0.25">
      <c r="A74" s="272"/>
      <c r="B74" s="587" t="s">
        <v>765</v>
      </c>
      <c r="C74" s="427">
        <f t="shared" si="20"/>
        <v>0</v>
      </c>
      <c r="D74" s="408"/>
      <c r="E74" s="408"/>
      <c r="F74" s="125"/>
      <c r="G74" s="408"/>
      <c r="H74" s="408"/>
      <c r="I74" s="427">
        <f t="shared" si="18"/>
        <v>700</v>
      </c>
      <c r="J74" s="125"/>
      <c r="K74" s="125"/>
      <c r="L74" s="125">
        <v>700</v>
      </c>
      <c r="M74" s="125"/>
      <c r="N74" s="125"/>
      <c r="O74" s="427">
        <f t="shared" si="19"/>
        <v>694.78399999999999</v>
      </c>
      <c r="P74" s="125"/>
      <c r="Q74" s="125"/>
      <c r="R74" s="125">
        <v>694.78399999999999</v>
      </c>
      <c r="S74" s="125"/>
      <c r="T74" s="125"/>
      <c r="U74" s="8">
        <v>700</v>
      </c>
    </row>
    <row r="75" spans="1:209" s="283" customFormat="1" ht="63" x14ac:dyDescent="0.3">
      <c r="A75" s="551">
        <v>8</v>
      </c>
      <c r="B75" s="80" t="s">
        <v>1179</v>
      </c>
      <c r="C75" s="149">
        <f>C76+C78</f>
        <v>250</v>
      </c>
      <c r="D75" s="149">
        <v>0</v>
      </c>
      <c r="E75" s="149">
        <v>0</v>
      </c>
      <c r="F75" s="149">
        <f>SUM(F76+F78)</f>
        <v>250</v>
      </c>
      <c r="G75" s="149">
        <v>0</v>
      </c>
      <c r="H75" s="149">
        <v>0</v>
      </c>
      <c r="I75" s="149">
        <f t="shared" si="18"/>
        <v>480</v>
      </c>
      <c r="J75" s="149">
        <v>0</v>
      </c>
      <c r="K75" s="149">
        <f>SUM(K76+K78)</f>
        <v>230</v>
      </c>
      <c r="L75" s="149">
        <f>SUM(L76+L78)</f>
        <v>250</v>
      </c>
      <c r="M75" s="149">
        <v>0</v>
      </c>
      <c r="N75" s="149">
        <v>0</v>
      </c>
      <c r="O75" s="149">
        <f>SUM(P75:T75)</f>
        <v>480</v>
      </c>
      <c r="P75" s="149">
        <v>0</v>
      </c>
      <c r="Q75" s="149">
        <f>SUM(Q76+Q78)</f>
        <v>230</v>
      </c>
      <c r="R75" s="149">
        <f>SUM(R76+R78)</f>
        <v>250</v>
      </c>
      <c r="S75" s="149">
        <v>0</v>
      </c>
      <c r="T75" s="149">
        <v>0</v>
      </c>
      <c r="U75" s="413">
        <f>I75/4*3</f>
        <v>360</v>
      </c>
      <c r="V75" s="735">
        <f>O75/I75*100</f>
        <v>100</v>
      </c>
      <c r="W75" s="734"/>
      <c r="X75" s="739"/>
      <c r="Y75" s="736"/>
      <c r="Z75" s="736"/>
      <c r="AA75" s="734"/>
      <c r="AB75" s="734"/>
      <c r="AC75" s="734"/>
      <c r="AD75" s="734"/>
      <c r="AE75" s="734"/>
      <c r="AF75" s="734"/>
      <c r="AG75" s="734"/>
      <c r="AH75" s="734"/>
      <c r="AI75" s="734"/>
      <c r="AJ75" s="734"/>
      <c r="AK75" s="734"/>
      <c r="AL75" s="734"/>
      <c r="AM75" s="734"/>
      <c r="AN75" s="734"/>
      <c r="AO75" s="734"/>
      <c r="AP75" s="734"/>
      <c r="AQ75" s="734"/>
      <c r="AR75" s="734"/>
      <c r="AS75" s="734"/>
      <c r="AT75" s="734"/>
      <c r="AU75" s="734"/>
      <c r="AV75" s="734"/>
      <c r="AW75" s="734"/>
      <c r="AX75" s="734"/>
      <c r="AY75" s="734"/>
      <c r="AZ75" s="734"/>
      <c r="BA75" s="734"/>
      <c r="BB75" s="734"/>
      <c r="BC75" s="734"/>
      <c r="BD75" s="734"/>
      <c r="BE75" s="734"/>
      <c r="BF75" s="734"/>
      <c r="BG75" s="734"/>
      <c r="BH75" s="734"/>
      <c r="BI75" s="734"/>
      <c r="BJ75" s="734"/>
      <c r="BK75" s="734"/>
      <c r="BL75" s="734"/>
      <c r="BM75" s="734"/>
      <c r="BN75" s="734"/>
      <c r="BO75" s="734"/>
      <c r="BP75" s="734"/>
      <c r="BQ75" s="734"/>
      <c r="BR75" s="734"/>
      <c r="BS75" s="734"/>
      <c r="BT75" s="734"/>
      <c r="BU75" s="734"/>
      <c r="BV75" s="734"/>
      <c r="BW75" s="734"/>
      <c r="BX75" s="734"/>
      <c r="BY75" s="734"/>
      <c r="BZ75" s="734"/>
      <c r="CA75" s="734"/>
      <c r="CB75" s="734"/>
      <c r="CC75" s="734"/>
      <c r="CD75" s="734"/>
      <c r="CE75" s="734"/>
      <c r="CF75" s="734"/>
      <c r="CG75" s="734"/>
      <c r="CH75" s="734"/>
      <c r="CI75" s="734"/>
      <c r="CJ75" s="734"/>
      <c r="CK75" s="734"/>
      <c r="CL75" s="734"/>
      <c r="CM75" s="734"/>
      <c r="CN75" s="734"/>
      <c r="CO75" s="734"/>
      <c r="CP75" s="734"/>
      <c r="CQ75" s="734"/>
      <c r="CR75" s="734"/>
      <c r="CS75" s="734"/>
      <c r="CT75" s="734"/>
      <c r="CU75" s="734"/>
      <c r="CV75" s="734"/>
      <c r="CW75" s="734"/>
      <c r="CX75" s="734"/>
      <c r="CY75" s="734"/>
      <c r="CZ75" s="734"/>
      <c r="DA75" s="734"/>
      <c r="DB75" s="734"/>
      <c r="DC75" s="734"/>
      <c r="DD75" s="734"/>
      <c r="DE75" s="734"/>
      <c r="DF75" s="734"/>
      <c r="DG75" s="734"/>
      <c r="DH75" s="734"/>
      <c r="DI75" s="734"/>
      <c r="DJ75" s="734"/>
      <c r="DK75" s="734"/>
      <c r="DL75" s="734"/>
      <c r="DM75" s="734"/>
      <c r="DN75" s="734"/>
      <c r="DO75" s="734"/>
      <c r="DP75" s="734"/>
      <c r="DQ75" s="734"/>
      <c r="DR75" s="734"/>
      <c r="DS75" s="734"/>
      <c r="DT75" s="734"/>
      <c r="DU75" s="734"/>
      <c r="DV75" s="734"/>
      <c r="DW75" s="734"/>
      <c r="DX75" s="734"/>
      <c r="DY75" s="734"/>
      <c r="DZ75" s="734"/>
      <c r="EA75" s="734"/>
      <c r="EB75" s="734"/>
      <c r="EC75" s="734"/>
      <c r="ED75" s="734"/>
      <c r="EE75" s="734"/>
      <c r="EF75" s="734"/>
      <c r="EG75" s="734"/>
      <c r="EH75" s="734"/>
      <c r="EI75" s="734"/>
      <c r="EJ75" s="734"/>
      <c r="EK75" s="734"/>
      <c r="EL75" s="734"/>
      <c r="EM75" s="734"/>
      <c r="EN75" s="734"/>
      <c r="EO75" s="734"/>
      <c r="EP75" s="734"/>
      <c r="EQ75" s="734"/>
      <c r="ER75" s="734"/>
      <c r="ES75" s="734"/>
      <c r="ET75" s="734"/>
      <c r="EU75" s="734"/>
      <c r="EV75" s="734"/>
      <c r="EW75" s="734"/>
      <c r="EX75" s="734"/>
      <c r="EY75" s="734"/>
      <c r="EZ75" s="734"/>
      <c r="FA75" s="734"/>
      <c r="FB75" s="734"/>
      <c r="FC75" s="734"/>
      <c r="FD75" s="734"/>
      <c r="FE75" s="734"/>
      <c r="FF75" s="734"/>
      <c r="FG75" s="734"/>
      <c r="FH75" s="734"/>
      <c r="FI75" s="734"/>
      <c r="FJ75" s="734"/>
      <c r="FK75" s="734"/>
      <c r="FL75" s="734"/>
      <c r="FM75" s="734"/>
      <c r="FN75" s="734"/>
      <c r="FO75" s="734"/>
      <c r="FP75" s="734"/>
      <c r="FQ75" s="734"/>
      <c r="FR75" s="734"/>
      <c r="FS75" s="734"/>
      <c r="FT75" s="734"/>
      <c r="FU75" s="734"/>
      <c r="FV75" s="734"/>
      <c r="FW75" s="734"/>
      <c r="FX75" s="734"/>
      <c r="FY75" s="734"/>
      <c r="FZ75" s="734"/>
      <c r="GA75" s="734"/>
      <c r="GB75" s="734"/>
      <c r="GC75" s="734"/>
      <c r="GD75" s="734"/>
      <c r="GE75" s="734"/>
      <c r="GF75" s="734"/>
      <c r="GG75" s="734"/>
      <c r="GH75" s="734"/>
      <c r="GI75" s="734"/>
      <c r="GJ75" s="734"/>
      <c r="GK75" s="734"/>
      <c r="GL75" s="734"/>
      <c r="GM75" s="734"/>
      <c r="GN75" s="734"/>
      <c r="GO75" s="734"/>
      <c r="GP75" s="734"/>
      <c r="GQ75" s="734"/>
      <c r="GR75" s="734"/>
      <c r="GS75" s="734"/>
      <c r="GT75" s="734"/>
      <c r="GU75" s="734"/>
      <c r="GV75" s="734"/>
      <c r="GW75" s="734"/>
      <c r="GX75" s="734"/>
      <c r="GY75" s="734"/>
      <c r="GZ75" s="734"/>
      <c r="HA75" s="734"/>
    </row>
    <row r="76" spans="1:209" s="328" customFormat="1" ht="47.25" x14ac:dyDescent="0.25">
      <c r="A76" s="325"/>
      <c r="B76" s="57" t="s">
        <v>448</v>
      </c>
      <c r="C76" s="124">
        <f t="shared" ref="C76:C87" si="21">SUM(D76:H76)</f>
        <v>100</v>
      </c>
      <c r="D76" s="420"/>
      <c r="E76" s="420"/>
      <c r="F76" s="420">
        <f>SUM(F77)</f>
        <v>100</v>
      </c>
      <c r="G76" s="420"/>
      <c r="H76" s="420"/>
      <c r="I76" s="124">
        <f t="shared" si="18"/>
        <v>330</v>
      </c>
      <c r="J76" s="420"/>
      <c r="K76" s="420">
        <f>SUM(K77)</f>
        <v>230</v>
      </c>
      <c r="L76" s="420">
        <f>L77</f>
        <v>100</v>
      </c>
      <c r="M76" s="420"/>
      <c r="N76" s="420"/>
      <c r="O76" s="124">
        <f t="shared" si="19"/>
        <v>330</v>
      </c>
      <c r="P76" s="420"/>
      <c r="Q76" s="420">
        <f>SUM(Q77)</f>
        <v>230</v>
      </c>
      <c r="R76" s="420">
        <f>R77</f>
        <v>100</v>
      </c>
      <c r="S76" s="420"/>
      <c r="T76" s="420"/>
    </row>
    <row r="77" spans="1:209" s="8" customFormat="1" ht="63" x14ac:dyDescent="0.25">
      <c r="A77" s="272"/>
      <c r="B77" s="306" t="s">
        <v>449</v>
      </c>
      <c r="C77" s="427">
        <f t="shared" si="21"/>
        <v>100</v>
      </c>
      <c r="D77" s="125"/>
      <c r="E77" s="125"/>
      <c r="F77" s="125">
        <v>100</v>
      </c>
      <c r="G77" s="125"/>
      <c r="H77" s="125"/>
      <c r="I77" s="427">
        <f t="shared" si="18"/>
        <v>330</v>
      </c>
      <c r="J77" s="125"/>
      <c r="K77" s="125">
        <v>230</v>
      </c>
      <c r="L77" s="125">
        <v>100</v>
      </c>
      <c r="M77" s="125"/>
      <c r="N77" s="125"/>
      <c r="O77" s="427">
        <f>SUM(P77:T77)</f>
        <v>330</v>
      </c>
      <c r="P77" s="125"/>
      <c r="Q77" s="125">
        <v>230</v>
      </c>
      <c r="R77" s="125">
        <v>100</v>
      </c>
      <c r="S77" s="125"/>
      <c r="T77" s="125"/>
    </row>
    <row r="78" spans="1:209" s="328" customFormat="1" ht="31.5" x14ac:dyDescent="0.25">
      <c r="A78" s="325"/>
      <c r="B78" s="57" t="s">
        <v>450</v>
      </c>
      <c r="C78" s="124">
        <f t="shared" si="21"/>
        <v>150</v>
      </c>
      <c r="D78" s="420"/>
      <c r="E78" s="420"/>
      <c r="F78" s="420">
        <f>SUM(F79)</f>
        <v>150</v>
      </c>
      <c r="G78" s="420"/>
      <c r="H78" s="420"/>
      <c r="I78" s="124">
        <f t="shared" si="18"/>
        <v>150</v>
      </c>
      <c r="J78" s="420"/>
      <c r="K78" s="420"/>
      <c r="L78" s="420">
        <f>SUM(L79)</f>
        <v>150</v>
      </c>
      <c r="M78" s="420"/>
      <c r="N78" s="420"/>
      <c r="O78" s="124">
        <f t="shared" si="19"/>
        <v>150</v>
      </c>
      <c r="P78" s="420"/>
      <c r="Q78" s="420"/>
      <c r="R78" s="420">
        <f>SUM(R79)</f>
        <v>150</v>
      </c>
      <c r="S78" s="420"/>
      <c r="T78" s="420"/>
    </row>
    <row r="79" spans="1:209" s="8" customFormat="1" ht="63" x14ac:dyDescent="0.25">
      <c r="A79" s="272"/>
      <c r="B79" s="312" t="s">
        <v>449</v>
      </c>
      <c r="C79" s="427">
        <f t="shared" si="21"/>
        <v>150</v>
      </c>
      <c r="D79" s="125"/>
      <c r="E79" s="125"/>
      <c r="F79" s="125">
        <v>150</v>
      </c>
      <c r="G79" s="125"/>
      <c r="H79" s="125"/>
      <c r="I79" s="427">
        <f t="shared" si="18"/>
        <v>150</v>
      </c>
      <c r="J79" s="125"/>
      <c r="K79" s="125"/>
      <c r="L79" s="125">
        <v>150</v>
      </c>
      <c r="M79" s="125"/>
      <c r="N79" s="125"/>
      <c r="O79" s="427">
        <f t="shared" si="19"/>
        <v>150</v>
      </c>
      <c r="P79" s="125"/>
      <c r="Q79" s="125"/>
      <c r="R79" s="125">
        <v>150</v>
      </c>
      <c r="S79" s="125"/>
      <c r="T79" s="125"/>
    </row>
    <row r="80" spans="1:209" s="283" customFormat="1" ht="47.25" x14ac:dyDescent="0.3">
      <c r="A80" s="551">
        <v>9</v>
      </c>
      <c r="B80" s="80" t="s">
        <v>1180</v>
      </c>
      <c r="C80" s="150">
        <f t="shared" si="21"/>
        <v>575</v>
      </c>
      <c r="D80" s="149">
        <v>0</v>
      </c>
      <c r="E80" s="149">
        <v>0</v>
      </c>
      <c r="F80" s="149">
        <f>SUM(F81+F90)</f>
        <v>575</v>
      </c>
      <c r="G80" s="149">
        <v>0</v>
      </c>
      <c r="H80" s="149">
        <v>0</v>
      </c>
      <c r="I80" s="149">
        <f t="shared" si="18"/>
        <v>579.47</v>
      </c>
      <c r="J80" s="149">
        <v>0</v>
      </c>
      <c r="K80" s="149">
        <f>SUM(K81+K90)</f>
        <v>0</v>
      </c>
      <c r="L80" s="149">
        <f>L81+L90</f>
        <v>579.47</v>
      </c>
      <c r="M80" s="149">
        <v>0</v>
      </c>
      <c r="N80" s="149">
        <v>0</v>
      </c>
      <c r="O80" s="149">
        <f t="shared" si="19"/>
        <v>574.47</v>
      </c>
      <c r="P80" s="150">
        <v>0</v>
      </c>
      <c r="Q80" s="149">
        <v>0</v>
      </c>
      <c r="R80" s="149">
        <f>SUM(R81+R90)</f>
        <v>574.47</v>
      </c>
      <c r="S80" s="150">
        <v>0</v>
      </c>
      <c r="T80" s="434">
        <v>0</v>
      </c>
      <c r="U80" s="149">
        <f>SUM(U81+U90)</f>
        <v>552.1</v>
      </c>
      <c r="V80" s="735">
        <f>O80/I80*100</f>
        <v>99.137142561306021</v>
      </c>
      <c r="W80" s="734"/>
      <c r="X80" s="739"/>
      <c r="Y80" s="736"/>
      <c r="Z80" s="736"/>
      <c r="AA80" s="738"/>
      <c r="AB80" s="734"/>
      <c r="AC80" s="734"/>
      <c r="AD80" s="734"/>
      <c r="AE80" s="734"/>
      <c r="AF80" s="734"/>
      <c r="AG80" s="734"/>
      <c r="AH80" s="734"/>
      <c r="AI80" s="734"/>
      <c r="AJ80" s="734"/>
      <c r="AK80" s="734"/>
      <c r="AL80" s="734"/>
      <c r="AM80" s="734"/>
      <c r="AN80" s="734"/>
      <c r="AO80" s="734"/>
      <c r="AP80" s="734"/>
      <c r="AQ80" s="734"/>
      <c r="AR80" s="734"/>
      <c r="AS80" s="734"/>
      <c r="AT80" s="734"/>
      <c r="AU80" s="734"/>
      <c r="AV80" s="734"/>
      <c r="AW80" s="734"/>
      <c r="AX80" s="734"/>
      <c r="AY80" s="734"/>
      <c r="AZ80" s="734"/>
      <c r="BA80" s="734"/>
      <c r="BB80" s="734"/>
      <c r="BC80" s="734"/>
      <c r="BD80" s="734"/>
      <c r="BE80" s="734"/>
      <c r="BF80" s="734"/>
      <c r="BG80" s="734"/>
      <c r="BH80" s="734"/>
      <c r="BI80" s="734"/>
      <c r="BJ80" s="734"/>
      <c r="BK80" s="734"/>
      <c r="BL80" s="734"/>
      <c r="BM80" s="734"/>
      <c r="BN80" s="734"/>
      <c r="BO80" s="734"/>
      <c r="BP80" s="734"/>
      <c r="BQ80" s="734"/>
      <c r="BR80" s="734"/>
      <c r="BS80" s="734"/>
      <c r="BT80" s="734"/>
      <c r="BU80" s="734"/>
      <c r="BV80" s="734"/>
      <c r="BW80" s="734"/>
      <c r="BX80" s="734"/>
      <c r="BY80" s="734"/>
      <c r="BZ80" s="734"/>
      <c r="CA80" s="734"/>
      <c r="CB80" s="734"/>
      <c r="CC80" s="734"/>
      <c r="CD80" s="734"/>
      <c r="CE80" s="734"/>
      <c r="CF80" s="734"/>
      <c r="CG80" s="734"/>
      <c r="CH80" s="734"/>
      <c r="CI80" s="734"/>
      <c r="CJ80" s="734"/>
      <c r="CK80" s="734"/>
      <c r="CL80" s="734"/>
      <c r="CM80" s="734"/>
      <c r="CN80" s="734"/>
      <c r="CO80" s="734"/>
      <c r="CP80" s="734"/>
      <c r="CQ80" s="734"/>
      <c r="CR80" s="734"/>
      <c r="CS80" s="734"/>
      <c r="CT80" s="734"/>
      <c r="CU80" s="734"/>
      <c r="CV80" s="734"/>
      <c r="CW80" s="734"/>
      <c r="CX80" s="734"/>
      <c r="CY80" s="734"/>
      <c r="CZ80" s="734"/>
      <c r="DA80" s="734"/>
      <c r="DB80" s="734"/>
      <c r="DC80" s="734"/>
      <c r="DD80" s="734"/>
      <c r="DE80" s="734"/>
      <c r="DF80" s="734"/>
      <c r="DG80" s="734"/>
      <c r="DH80" s="734"/>
      <c r="DI80" s="734"/>
      <c r="DJ80" s="734"/>
      <c r="DK80" s="734"/>
      <c r="DL80" s="734"/>
      <c r="DM80" s="734"/>
      <c r="DN80" s="734"/>
      <c r="DO80" s="734"/>
      <c r="DP80" s="734"/>
      <c r="DQ80" s="734"/>
      <c r="DR80" s="734"/>
      <c r="DS80" s="734"/>
      <c r="DT80" s="734"/>
      <c r="DU80" s="734"/>
      <c r="DV80" s="734"/>
      <c r="DW80" s="734"/>
      <c r="DX80" s="734"/>
      <c r="DY80" s="734"/>
      <c r="DZ80" s="734"/>
      <c r="EA80" s="734"/>
      <c r="EB80" s="734"/>
      <c r="EC80" s="734"/>
      <c r="ED80" s="734"/>
      <c r="EE80" s="734"/>
      <c r="EF80" s="734"/>
      <c r="EG80" s="734"/>
      <c r="EH80" s="734"/>
      <c r="EI80" s="734"/>
      <c r="EJ80" s="734"/>
      <c r="EK80" s="734"/>
      <c r="EL80" s="734"/>
      <c r="EM80" s="734"/>
      <c r="EN80" s="734"/>
      <c r="EO80" s="734"/>
      <c r="EP80" s="734"/>
      <c r="EQ80" s="734"/>
      <c r="ER80" s="734"/>
      <c r="ES80" s="734"/>
      <c r="ET80" s="734"/>
      <c r="EU80" s="734"/>
      <c r="EV80" s="734"/>
      <c r="EW80" s="734"/>
      <c r="EX80" s="734"/>
      <c r="EY80" s="734"/>
      <c r="EZ80" s="734"/>
      <c r="FA80" s="734"/>
      <c r="FB80" s="734"/>
      <c r="FC80" s="734"/>
      <c r="FD80" s="734"/>
      <c r="FE80" s="734"/>
      <c r="FF80" s="734"/>
      <c r="FG80" s="734"/>
      <c r="FH80" s="734"/>
      <c r="FI80" s="734"/>
      <c r="FJ80" s="734"/>
      <c r="FK80" s="734"/>
      <c r="FL80" s="734"/>
      <c r="FM80" s="734"/>
      <c r="FN80" s="734"/>
      <c r="FO80" s="734"/>
      <c r="FP80" s="734"/>
      <c r="FQ80" s="734"/>
      <c r="FR80" s="734"/>
      <c r="FS80" s="734"/>
      <c r="FT80" s="734"/>
      <c r="FU80" s="734"/>
      <c r="FV80" s="734"/>
      <c r="FW80" s="734"/>
      <c r="FX80" s="734"/>
      <c r="FY80" s="734"/>
      <c r="FZ80" s="734"/>
      <c r="GA80" s="734"/>
      <c r="GB80" s="734"/>
      <c r="GC80" s="734"/>
      <c r="GD80" s="734"/>
      <c r="GE80" s="734"/>
      <c r="GF80" s="734"/>
      <c r="GG80" s="734"/>
      <c r="GH80" s="734"/>
      <c r="GI80" s="734"/>
      <c r="GJ80" s="734"/>
      <c r="GK80" s="734"/>
      <c r="GL80" s="734"/>
      <c r="GM80" s="734"/>
      <c r="GN80" s="734"/>
      <c r="GO80" s="734"/>
      <c r="GP80" s="734"/>
      <c r="GQ80" s="734"/>
      <c r="GR80" s="734"/>
      <c r="GS80" s="734"/>
      <c r="GT80" s="734"/>
      <c r="GU80" s="734"/>
      <c r="GV80" s="734"/>
      <c r="GW80" s="734"/>
      <c r="GX80" s="734"/>
      <c r="GY80" s="734"/>
      <c r="GZ80" s="734"/>
      <c r="HA80" s="734"/>
    </row>
    <row r="81" spans="1:209" s="8" customFormat="1" ht="31.5" x14ac:dyDescent="0.25">
      <c r="A81" s="272" t="s">
        <v>768</v>
      </c>
      <c r="B81" s="330" t="s">
        <v>766</v>
      </c>
      <c r="C81" s="435">
        <f t="shared" si="21"/>
        <v>550</v>
      </c>
      <c r="D81" s="125"/>
      <c r="E81" s="125"/>
      <c r="F81" s="420">
        <f>F82+F87</f>
        <v>550</v>
      </c>
      <c r="G81" s="125"/>
      <c r="H81" s="125"/>
      <c r="I81" s="124">
        <f t="shared" si="18"/>
        <v>554.47</v>
      </c>
      <c r="J81" s="125"/>
      <c r="K81" s="125"/>
      <c r="L81" s="420">
        <f>L82+L87</f>
        <v>554.47</v>
      </c>
      <c r="M81" s="125"/>
      <c r="N81" s="125"/>
      <c r="O81" s="124">
        <f t="shared" si="19"/>
        <v>549.47</v>
      </c>
      <c r="P81" s="125"/>
      <c r="Q81" s="125"/>
      <c r="R81" s="420">
        <f>R82+R87</f>
        <v>549.47</v>
      </c>
      <c r="S81" s="125"/>
      <c r="T81" s="125"/>
      <c r="U81" s="420">
        <f>U82+U87</f>
        <v>527.1</v>
      </c>
    </row>
    <row r="82" spans="1:209" s="305" customFormat="1" ht="31.5" x14ac:dyDescent="0.25">
      <c r="A82" s="298" t="s">
        <v>769</v>
      </c>
      <c r="B82" s="311" t="s">
        <v>767</v>
      </c>
      <c r="C82" s="436">
        <f t="shared" si="21"/>
        <v>495</v>
      </c>
      <c r="D82" s="424"/>
      <c r="E82" s="424"/>
      <c r="F82" s="424">
        <f>SUM(F83:F86)</f>
        <v>495</v>
      </c>
      <c r="G82" s="424"/>
      <c r="H82" s="424"/>
      <c r="I82" s="425">
        <f t="shared" si="18"/>
        <v>499.47</v>
      </c>
      <c r="J82" s="424"/>
      <c r="K82" s="424"/>
      <c r="L82" s="424">
        <f>SUM(L83:L86)</f>
        <v>499.47</v>
      </c>
      <c r="M82" s="424"/>
      <c r="N82" s="424"/>
      <c r="O82" s="425">
        <f t="shared" si="19"/>
        <v>494.47</v>
      </c>
      <c r="P82" s="424"/>
      <c r="Q82" s="424"/>
      <c r="R82" s="424">
        <f>SUM(R83:R86)</f>
        <v>494.47</v>
      </c>
      <c r="S82" s="424"/>
      <c r="T82" s="424"/>
      <c r="U82" s="424">
        <f>SUM(U83:U86)</f>
        <v>490.43</v>
      </c>
    </row>
    <row r="83" spans="1:209" s="8" customFormat="1" x14ac:dyDescent="0.25">
      <c r="A83" s="272" t="s">
        <v>770</v>
      </c>
      <c r="B83" s="332" t="s">
        <v>451</v>
      </c>
      <c r="C83" s="731">
        <f t="shared" si="21"/>
        <v>450</v>
      </c>
      <c r="D83" s="125"/>
      <c r="E83" s="125"/>
      <c r="F83" s="125">
        <v>450</v>
      </c>
      <c r="G83" s="125"/>
      <c r="H83" s="125"/>
      <c r="I83" s="427">
        <f t="shared" si="18"/>
        <v>450</v>
      </c>
      <c r="J83" s="125"/>
      <c r="K83" s="125"/>
      <c r="L83" s="125">
        <v>450</v>
      </c>
      <c r="M83" s="125"/>
      <c r="N83" s="125"/>
      <c r="O83" s="427">
        <f t="shared" si="19"/>
        <v>450</v>
      </c>
      <c r="P83" s="125"/>
      <c r="Q83" s="125"/>
      <c r="R83" s="125">
        <v>450</v>
      </c>
      <c r="S83" s="125"/>
      <c r="T83" s="125"/>
      <c r="U83" s="8">
        <v>450</v>
      </c>
    </row>
    <row r="84" spans="1:209" s="8" customFormat="1" ht="47.25" x14ac:dyDescent="0.25">
      <c r="A84" s="272" t="s">
        <v>772</v>
      </c>
      <c r="B84" s="332" t="s">
        <v>453</v>
      </c>
      <c r="C84" s="731">
        <f t="shared" si="21"/>
        <v>20</v>
      </c>
      <c r="D84" s="125"/>
      <c r="E84" s="125"/>
      <c r="F84" s="125">
        <v>20</v>
      </c>
      <c r="G84" s="125"/>
      <c r="H84" s="125"/>
      <c r="I84" s="427">
        <f t="shared" ref="I84:I89" si="22">SUM(J84:N84)</f>
        <v>24.47</v>
      </c>
      <c r="J84" s="125"/>
      <c r="K84" s="125"/>
      <c r="L84" s="125">
        <v>24.47</v>
      </c>
      <c r="M84" s="125"/>
      <c r="N84" s="125"/>
      <c r="O84" s="427">
        <f t="shared" si="19"/>
        <v>24.47</v>
      </c>
      <c r="P84" s="125"/>
      <c r="Q84" s="125"/>
      <c r="R84" s="125">
        <v>24.47</v>
      </c>
      <c r="S84" s="125"/>
      <c r="T84" s="125"/>
      <c r="U84" s="8">
        <v>15.43</v>
      </c>
    </row>
    <row r="85" spans="1:209" s="8" customFormat="1" ht="31.5" x14ac:dyDescent="0.25">
      <c r="A85" s="272" t="s">
        <v>773</v>
      </c>
      <c r="B85" s="332" t="s">
        <v>454</v>
      </c>
      <c r="C85" s="731">
        <f t="shared" si="21"/>
        <v>20</v>
      </c>
      <c r="D85" s="125"/>
      <c r="E85" s="125"/>
      <c r="F85" s="125">
        <v>20</v>
      </c>
      <c r="G85" s="125"/>
      <c r="H85" s="125"/>
      <c r="I85" s="427">
        <f t="shared" si="22"/>
        <v>20</v>
      </c>
      <c r="J85" s="125"/>
      <c r="K85" s="125"/>
      <c r="L85" s="125">
        <v>20</v>
      </c>
      <c r="M85" s="125"/>
      <c r="N85" s="125"/>
      <c r="O85" s="427">
        <f t="shared" si="19"/>
        <v>20</v>
      </c>
      <c r="P85" s="125"/>
      <c r="Q85" s="125"/>
      <c r="R85" s="125">
        <v>20</v>
      </c>
      <c r="S85" s="125"/>
      <c r="T85" s="125"/>
      <c r="U85" s="8">
        <v>20</v>
      </c>
    </row>
    <row r="86" spans="1:209" s="8" customFormat="1" ht="31.5" x14ac:dyDescent="0.25">
      <c r="A86" s="272" t="s">
        <v>774</v>
      </c>
      <c r="B86" s="332" t="s">
        <v>771</v>
      </c>
      <c r="C86" s="731">
        <f t="shared" si="21"/>
        <v>5</v>
      </c>
      <c r="D86" s="125"/>
      <c r="E86" s="125"/>
      <c r="F86" s="125">
        <v>5</v>
      </c>
      <c r="G86" s="125"/>
      <c r="H86" s="125"/>
      <c r="I86" s="427">
        <f t="shared" si="22"/>
        <v>5</v>
      </c>
      <c r="J86" s="125"/>
      <c r="K86" s="125"/>
      <c r="L86" s="125">
        <v>5</v>
      </c>
      <c r="M86" s="125"/>
      <c r="N86" s="125"/>
      <c r="O86" s="427">
        <f t="shared" si="19"/>
        <v>0</v>
      </c>
      <c r="P86" s="125"/>
      <c r="Q86" s="125"/>
      <c r="R86" s="125"/>
      <c r="S86" s="125"/>
      <c r="T86" s="125"/>
      <c r="U86" s="8">
        <v>5</v>
      </c>
    </row>
    <row r="87" spans="1:209" s="305" customFormat="1" ht="31.5" x14ac:dyDescent="0.25">
      <c r="A87" s="298" t="s">
        <v>776</v>
      </c>
      <c r="B87" s="320" t="s">
        <v>777</v>
      </c>
      <c r="C87" s="436">
        <f t="shared" si="21"/>
        <v>55</v>
      </c>
      <c r="D87" s="424"/>
      <c r="E87" s="424"/>
      <c r="F87" s="424">
        <f>F88</f>
        <v>55</v>
      </c>
      <c r="G87" s="424"/>
      <c r="H87" s="424"/>
      <c r="I87" s="425">
        <f t="shared" si="22"/>
        <v>55</v>
      </c>
      <c r="J87" s="424"/>
      <c r="K87" s="424"/>
      <c r="L87" s="424">
        <f>L88</f>
        <v>55</v>
      </c>
      <c r="M87" s="424"/>
      <c r="N87" s="424"/>
      <c r="O87" s="425">
        <f t="shared" si="19"/>
        <v>55</v>
      </c>
      <c r="P87" s="424"/>
      <c r="Q87" s="424"/>
      <c r="R87" s="424">
        <f>R88</f>
        <v>55</v>
      </c>
      <c r="S87" s="424"/>
      <c r="T87" s="424"/>
      <c r="U87" s="424">
        <f>U88</f>
        <v>36.67</v>
      </c>
    </row>
    <row r="88" spans="1:209" s="8" customFormat="1" ht="63" x14ac:dyDescent="0.25">
      <c r="A88" s="272" t="s">
        <v>778</v>
      </c>
      <c r="B88" s="332" t="s">
        <v>455</v>
      </c>
      <c r="C88" s="731">
        <f>SUM(D88:H88)</f>
        <v>55</v>
      </c>
      <c r="D88" s="125"/>
      <c r="E88" s="125"/>
      <c r="F88" s="125">
        <v>55</v>
      </c>
      <c r="G88" s="125"/>
      <c r="H88" s="125"/>
      <c r="I88" s="427">
        <f t="shared" si="22"/>
        <v>55</v>
      </c>
      <c r="J88" s="125"/>
      <c r="K88" s="125"/>
      <c r="L88" s="125">
        <v>55</v>
      </c>
      <c r="M88" s="125"/>
      <c r="N88" s="125"/>
      <c r="O88" s="427">
        <f>SUM(P88:T88)</f>
        <v>55</v>
      </c>
      <c r="P88" s="125"/>
      <c r="Q88" s="125"/>
      <c r="R88" s="125">
        <v>55</v>
      </c>
      <c r="S88" s="125"/>
      <c r="T88" s="125"/>
      <c r="U88" s="8">
        <v>36.67</v>
      </c>
    </row>
    <row r="89" spans="1:209" s="8" customFormat="1" ht="78.75" x14ac:dyDescent="0.25">
      <c r="A89" s="272"/>
      <c r="B89" s="268" t="s">
        <v>452</v>
      </c>
      <c r="C89" s="435">
        <f>SUM(D89:H89)</f>
        <v>0</v>
      </c>
      <c r="D89" s="125"/>
      <c r="E89" s="125"/>
      <c r="F89" s="125"/>
      <c r="G89" s="125"/>
      <c r="H89" s="125"/>
      <c r="I89" s="124">
        <f t="shared" si="22"/>
        <v>0</v>
      </c>
      <c r="J89" s="125"/>
      <c r="K89" s="125"/>
      <c r="L89" s="125"/>
      <c r="M89" s="125"/>
      <c r="N89" s="125"/>
      <c r="O89" s="124">
        <f>SUM(P89:T89)</f>
        <v>0</v>
      </c>
      <c r="P89" s="125"/>
      <c r="Q89" s="125"/>
      <c r="R89" s="125"/>
      <c r="S89" s="125"/>
      <c r="T89" s="125"/>
    </row>
    <row r="90" spans="1:209" s="8" customFormat="1" ht="17.25" customHeight="1" x14ac:dyDescent="0.25">
      <c r="A90" s="272" t="s">
        <v>775</v>
      </c>
      <c r="B90" s="318" t="s">
        <v>780</v>
      </c>
      <c r="C90" s="435">
        <f>SUM(D90:H90)</f>
        <v>25</v>
      </c>
      <c r="D90" s="125"/>
      <c r="E90" s="125"/>
      <c r="F90" s="420">
        <f>F91</f>
        <v>25</v>
      </c>
      <c r="G90" s="125"/>
      <c r="H90" s="125"/>
      <c r="I90" s="124">
        <f t="shared" si="18"/>
        <v>25</v>
      </c>
      <c r="J90" s="125"/>
      <c r="K90" s="420"/>
      <c r="L90" s="420">
        <f>L91</f>
        <v>25</v>
      </c>
      <c r="M90" s="125"/>
      <c r="N90" s="125"/>
      <c r="O90" s="124">
        <f t="shared" ca="1" si="19"/>
        <v>75</v>
      </c>
      <c r="P90" s="125"/>
      <c r="Q90" s="420">
        <f ca="1">SUM(Q88:Q91)</f>
        <v>0</v>
      </c>
      <c r="R90" s="420">
        <f>R91</f>
        <v>25</v>
      </c>
      <c r="S90" s="125"/>
      <c r="T90" s="125"/>
      <c r="U90" s="420">
        <f>U91</f>
        <v>25</v>
      </c>
    </row>
    <row r="91" spans="1:209" s="8" customFormat="1" ht="47.25" x14ac:dyDescent="0.25">
      <c r="A91" s="433" t="s">
        <v>781</v>
      </c>
      <c r="B91" s="668" t="s">
        <v>779</v>
      </c>
      <c r="C91" s="731">
        <f>SUM(D91:H91)</f>
        <v>25</v>
      </c>
      <c r="D91" s="125"/>
      <c r="E91" s="125"/>
      <c r="F91" s="125">
        <v>25</v>
      </c>
      <c r="G91" s="125"/>
      <c r="H91" s="125"/>
      <c r="I91" s="427">
        <f t="shared" si="18"/>
        <v>25</v>
      </c>
      <c r="J91" s="125"/>
      <c r="K91" s="125"/>
      <c r="L91" s="125">
        <v>25</v>
      </c>
      <c r="M91" s="125"/>
      <c r="N91" s="125"/>
      <c r="O91" s="427">
        <f t="shared" si="19"/>
        <v>25</v>
      </c>
      <c r="P91" s="125"/>
      <c r="Q91" s="125"/>
      <c r="R91" s="125">
        <v>25</v>
      </c>
      <c r="S91" s="125"/>
      <c r="T91" s="125"/>
      <c r="U91" s="8">
        <v>25</v>
      </c>
    </row>
    <row r="92" spans="1:209" s="283" customFormat="1" ht="47.25" x14ac:dyDescent="0.3">
      <c r="A92" s="551">
        <v>10</v>
      </c>
      <c r="B92" s="317" t="s">
        <v>1181</v>
      </c>
      <c r="C92" s="149">
        <f>SUM(D92:H92)</f>
        <v>2334.8000000000002</v>
      </c>
      <c r="D92" s="150">
        <v>0</v>
      </c>
      <c r="E92" s="150">
        <v>0</v>
      </c>
      <c r="F92" s="150">
        <f>SUM(F93+F95+F100)</f>
        <v>2334.8000000000002</v>
      </c>
      <c r="G92" s="150">
        <v>0</v>
      </c>
      <c r="H92" s="150">
        <v>0</v>
      </c>
      <c r="I92" s="149">
        <f t="shared" si="18"/>
        <v>2511.14</v>
      </c>
      <c r="J92" s="150">
        <v>0</v>
      </c>
      <c r="K92" s="150">
        <v>0</v>
      </c>
      <c r="L92" s="150">
        <f>SUM(L93+L95+L100+L110)</f>
        <v>2511.14</v>
      </c>
      <c r="M92" s="150">
        <v>0</v>
      </c>
      <c r="N92" s="150">
        <v>0</v>
      </c>
      <c r="O92" s="149">
        <f>SUM(P92:T92)</f>
        <v>2344.4127699999999</v>
      </c>
      <c r="P92" s="150">
        <v>0</v>
      </c>
      <c r="Q92" s="150">
        <v>0</v>
      </c>
      <c r="R92" s="150">
        <f>SUM(R93+R95+R100+R110)</f>
        <v>2344.4127699999999</v>
      </c>
      <c r="S92" s="150">
        <v>0</v>
      </c>
      <c r="T92" s="150">
        <v>0</v>
      </c>
      <c r="U92" s="150">
        <f>SUM(U93+U95+U100+U110)</f>
        <v>2256.81</v>
      </c>
      <c r="V92" s="735">
        <f>O92/I92*100</f>
        <v>93.360496427917212</v>
      </c>
      <c r="W92" s="734"/>
      <c r="X92" s="739"/>
      <c r="Y92" s="736"/>
      <c r="Z92" s="736"/>
      <c r="AA92" s="734"/>
      <c r="AB92" s="734"/>
      <c r="AC92" s="734"/>
      <c r="AD92" s="734"/>
      <c r="AE92" s="734"/>
      <c r="AF92" s="734"/>
      <c r="AG92" s="734"/>
      <c r="AH92" s="734"/>
      <c r="AI92" s="734"/>
      <c r="AJ92" s="734"/>
      <c r="AK92" s="734"/>
      <c r="AL92" s="734"/>
      <c r="AM92" s="734"/>
      <c r="AN92" s="734"/>
      <c r="AO92" s="734"/>
      <c r="AP92" s="734"/>
      <c r="AQ92" s="734"/>
      <c r="AR92" s="734"/>
      <c r="AS92" s="734"/>
      <c r="AT92" s="734"/>
      <c r="AU92" s="734"/>
      <c r="AV92" s="734"/>
      <c r="AW92" s="734"/>
      <c r="AX92" s="734"/>
      <c r="AY92" s="734"/>
      <c r="AZ92" s="734"/>
      <c r="BA92" s="734"/>
      <c r="BB92" s="734"/>
      <c r="BC92" s="734"/>
      <c r="BD92" s="734"/>
      <c r="BE92" s="734"/>
      <c r="BF92" s="734"/>
      <c r="BG92" s="734"/>
      <c r="BH92" s="734"/>
      <c r="BI92" s="734"/>
      <c r="BJ92" s="734"/>
      <c r="BK92" s="734"/>
      <c r="BL92" s="734"/>
      <c r="BM92" s="734"/>
      <c r="BN92" s="734"/>
      <c r="BO92" s="734"/>
      <c r="BP92" s="734"/>
      <c r="BQ92" s="734"/>
      <c r="BR92" s="734"/>
      <c r="BS92" s="734"/>
      <c r="BT92" s="734"/>
      <c r="BU92" s="734"/>
      <c r="BV92" s="734"/>
      <c r="BW92" s="734"/>
      <c r="BX92" s="734"/>
      <c r="BY92" s="734"/>
      <c r="BZ92" s="734"/>
      <c r="CA92" s="734"/>
      <c r="CB92" s="734"/>
      <c r="CC92" s="734"/>
      <c r="CD92" s="734"/>
      <c r="CE92" s="734"/>
      <c r="CF92" s="734"/>
      <c r="CG92" s="734"/>
      <c r="CH92" s="734"/>
      <c r="CI92" s="734"/>
      <c r="CJ92" s="734"/>
      <c r="CK92" s="734"/>
      <c r="CL92" s="734"/>
      <c r="CM92" s="734"/>
      <c r="CN92" s="734"/>
      <c r="CO92" s="734"/>
      <c r="CP92" s="734"/>
      <c r="CQ92" s="734"/>
      <c r="CR92" s="734"/>
      <c r="CS92" s="734"/>
      <c r="CT92" s="734"/>
      <c r="CU92" s="734"/>
      <c r="CV92" s="734"/>
      <c r="CW92" s="734"/>
      <c r="CX92" s="734"/>
      <c r="CY92" s="734"/>
      <c r="CZ92" s="734"/>
      <c r="DA92" s="734"/>
      <c r="DB92" s="734"/>
      <c r="DC92" s="734"/>
      <c r="DD92" s="734"/>
      <c r="DE92" s="734"/>
      <c r="DF92" s="734"/>
      <c r="DG92" s="734"/>
      <c r="DH92" s="734"/>
      <c r="DI92" s="734"/>
      <c r="DJ92" s="734"/>
      <c r="DK92" s="734"/>
      <c r="DL92" s="734"/>
      <c r="DM92" s="734"/>
      <c r="DN92" s="734"/>
      <c r="DO92" s="734"/>
      <c r="DP92" s="734"/>
      <c r="DQ92" s="734"/>
      <c r="DR92" s="734"/>
      <c r="DS92" s="734"/>
      <c r="DT92" s="734"/>
      <c r="DU92" s="734"/>
      <c r="DV92" s="734"/>
      <c r="DW92" s="734"/>
      <c r="DX92" s="734"/>
      <c r="DY92" s="734"/>
      <c r="DZ92" s="734"/>
      <c r="EA92" s="734"/>
      <c r="EB92" s="734"/>
      <c r="EC92" s="734"/>
      <c r="ED92" s="734"/>
      <c r="EE92" s="734"/>
      <c r="EF92" s="734"/>
      <c r="EG92" s="734"/>
      <c r="EH92" s="734"/>
      <c r="EI92" s="734"/>
      <c r="EJ92" s="734"/>
      <c r="EK92" s="734"/>
      <c r="EL92" s="734"/>
      <c r="EM92" s="734"/>
      <c r="EN92" s="734"/>
      <c r="EO92" s="734"/>
      <c r="EP92" s="734"/>
      <c r="EQ92" s="734"/>
      <c r="ER92" s="734"/>
      <c r="ES92" s="734"/>
      <c r="ET92" s="734"/>
      <c r="EU92" s="734"/>
      <c r="EV92" s="734"/>
      <c r="EW92" s="734"/>
      <c r="EX92" s="734"/>
      <c r="EY92" s="734"/>
      <c r="EZ92" s="734"/>
      <c r="FA92" s="734"/>
      <c r="FB92" s="734"/>
      <c r="FC92" s="734"/>
      <c r="FD92" s="734"/>
      <c r="FE92" s="734"/>
      <c r="FF92" s="734"/>
      <c r="FG92" s="734"/>
      <c r="FH92" s="734"/>
      <c r="FI92" s="734"/>
      <c r="FJ92" s="734"/>
      <c r="FK92" s="734"/>
      <c r="FL92" s="734"/>
      <c r="FM92" s="734"/>
      <c r="FN92" s="734"/>
      <c r="FO92" s="734"/>
      <c r="FP92" s="734"/>
      <c r="FQ92" s="734"/>
      <c r="FR92" s="734"/>
      <c r="FS92" s="734"/>
      <c r="FT92" s="734"/>
      <c r="FU92" s="734"/>
      <c r="FV92" s="734"/>
      <c r="FW92" s="734"/>
      <c r="FX92" s="734"/>
      <c r="FY92" s="734"/>
      <c r="FZ92" s="734"/>
      <c r="GA92" s="734"/>
      <c r="GB92" s="734"/>
      <c r="GC92" s="734"/>
      <c r="GD92" s="734"/>
      <c r="GE92" s="734"/>
      <c r="GF92" s="734"/>
      <c r="GG92" s="734"/>
      <c r="GH92" s="734"/>
      <c r="GI92" s="734"/>
      <c r="GJ92" s="734"/>
      <c r="GK92" s="734"/>
      <c r="GL92" s="734"/>
      <c r="GM92" s="734"/>
      <c r="GN92" s="734"/>
      <c r="GO92" s="734"/>
      <c r="GP92" s="734"/>
      <c r="GQ92" s="734"/>
      <c r="GR92" s="734"/>
      <c r="GS92" s="734"/>
      <c r="GT92" s="734"/>
      <c r="GU92" s="734"/>
      <c r="GV92" s="734"/>
      <c r="GW92" s="734"/>
      <c r="GX92" s="734"/>
      <c r="GY92" s="734"/>
      <c r="GZ92" s="734"/>
      <c r="HA92" s="734"/>
    </row>
    <row r="93" spans="1:209" s="8" customFormat="1" x14ac:dyDescent="0.25">
      <c r="A93" s="272"/>
      <c r="B93" s="313" t="s">
        <v>541</v>
      </c>
      <c r="C93" s="124">
        <f t="shared" ref="C93:C111" si="23">SUM(D93:H93)</f>
        <v>698.8</v>
      </c>
      <c r="D93" s="437"/>
      <c r="E93" s="437"/>
      <c r="F93" s="437">
        <f>SUM(F94:F94)</f>
        <v>698.8</v>
      </c>
      <c r="G93" s="437"/>
      <c r="H93" s="437"/>
      <c r="I93" s="124">
        <f t="shared" si="18"/>
        <v>705.32</v>
      </c>
      <c r="J93" s="437"/>
      <c r="K93" s="437"/>
      <c r="L93" s="437">
        <f>SUM(L94:L94)</f>
        <v>705.32</v>
      </c>
      <c r="M93" s="437"/>
      <c r="N93" s="437"/>
      <c r="O93" s="124">
        <f t="shared" ref="O93:O111" si="24">SUM(P93:T93)</f>
        <v>696.06127000000004</v>
      </c>
      <c r="P93" s="437">
        <v>0</v>
      </c>
      <c r="Q93" s="437"/>
      <c r="R93" s="437">
        <f>SUM(R94:R94)</f>
        <v>696.06127000000004</v>
      </c>
      <c r="S93" s="437">
        <v>0</v>
      </c>
      <c r="T93" s="125"/>
      <c r="U93" s="437">
        <f>SUM(U94:U94)</f>
        <v>528.99</v>
      </c>
    </row>
    <row r="94" spans="1:209" s="8" customFormat="1" ht="31.5" x14ac:dyDescent="0.25">
      <c r="A94" s="272"/>
      <c r="B94" s="312" t="s">
        <v>642</v>
      </c>
      <c r="C94" s="427">
        <f t="shared" si="23"/>
        <v>698.8</v>
      </c>
      <c r="D94" s="422"/>
      <c r="E94" s="422"/>
      <c r="F94" s="414">
        <v>698.8</v>
      </c>
      <c r="G94" s="422"/>
      <c r="H94" s="422"/>
      <c r="I94" s="427">
        <f t="shared" si="18"/>
        <v>705.32</v>
      </c>
      <c r="J94" s="422"/>
      <c r="K94" s="422"/>
      <c r="L94" s="422">
        <v>705.32</v>
      </c>
      <c r="M94" s="422"/>
      <c r="N94" s="422"/>
      <c r="O94" s="427">
        <f t="shared" si="24"/>
        <v>696.06127000000004</v>
      </c>
      <c r="P94" s="422"/>
      <c r="Q94" s="422"/>
      <c r="R94" s="422">
        <v>696.06127000000004</v>
      </c>
      <c r="S94" s="422"/>
      <c r="T94" s="125"/>
      <c r="U94" s="8">
        <f>L94/4*3</f>
        <v>528.99</v>
      </c>
    </row>
    <row r="95" spans="1:209" s="8" customFormat="1" ht="31.5" x14ac:dyDescent="0.25">
      <c r="A95" s="272"/>
      <c r="B95" s="313" t="s">
        <v>799</v>
      </c>
      <c r="C95" s="124">
        <f t="shared" si="23"/>
        <v>665</v>
      </c>
      <c r="D95" s="437"/>
      <c r="E95" s="437"/>
      <c r="F95" s="438">
        <f>SUM(F96:F99)</f>
        <v>665</v>
      </c>
      <c r="G95" s="437"/>
      <c r="H95" s="437"/>
      <c r="I95" s="124">
        <f t="shared" si="18"/>
        <v>664.9</v>
      </c>
      <c r="J95" s="437"/>
      <c r="K95" s="437"/>
      <c r="L95" s="438">
        <f>SUM(L96:L99)</f>
        <v>664.9</v>
      </c>
      <c r="M95" s="437"/>
      <c r="N95" s="437"/>
      <c r="O95" s="124">
        <f t="shared" si="24"/>
        <v>664.9</v>
      </c>
      <c r="P95" s="437"/>
      <c r="Q95" s="438"/>
      <c r="R95" s="438">
        <f>SUM(R96:R99)</f>
        <v>664.9</v>
      </c>
      <c r="S95" s="437"/>
      <c r="T95" s="125"/>
      <c r="U95" s="438">
        <f>SUM(U96:U99)</f>
        <v>665</v>
      </c>
    </row>
    <row r="96" spans="1:209" s="8" customFormat="1" ht="63" x14ac:dyDescent="0.25">
      <c r="A96" s="272"/>
      <c r="B96" s="306" t="s">
        <v>800</v>
      </c>
      <c r="C96" s="124">
        <f t="shared" ref="C96:C102" si="25">SUM(D96:H96)</f>
        <v>570</v>
      </c>
      <c r="D96" s="422"/>
      <c r="E96" s="422"/>
      <c r="F96" s="414">
        <v>570</v>
      </c>
      <c r="G96" s="422"/>
      <c r="H96" s="422"/>
      <c r="I96" s="124">
        <f t="shared" si="18"/>
        <v>570</v>
      </c>
      <c r="J96" s="422"/>
      <c r="K96" s="422"/>
      <c r="L96" s="414">
        <v>570</v>
      </c>
      <c r="M96" s="422"/>
      <c r="N96" s="422"/>
      <c r="O96" s="124">
        <f t="shared" si="24"/>
        <v>570</v>
      </c>
      <c r="P96" s="422"/>
      <c r="Q96" s="414"/>
      <c r="R96" s="414">
        <v>570</v>
      </c>
      <c r="S96" s="422"/>
      <c r="T96" s="125"/>
      <c r="U96" s="8">
        <v>570</v>
      </c>
    </row>
    <row r="97" spans="1:209" s="8" customFormat="1" ht="31.5" x14ac:dyDescent="0.25">
      <c r="A97" s="272"/>
      <c r="B97" s="312" t="s">
        <v>463</v>
      </c>
      <c r="C97" s="124">
        <f t="shared" si="25"/>
        <v>50</v>
      </c>
      <c r="D97" s="422"/>
      <c r="E97" s="422"/>
      <c r="F97" s="129">
        <v>50</v>
      </c>
      <c r="G97" s="422"/>
      <c r="H97" s="422"/>
      <c r="I97" s="124">
        <f t="shared" si="18"/>
        <v>50</v>
      </c>
      <c r="J97" s="422"/>
      <c r="K97" s="422"/>
      <c r="L97" s="422">
        <v>50</v>
      </c>
      <c r="M97" s="422"/>
      <c r="N97" s="422"/>
      <c r="O97" s="124">
        <f>SUM(P97:T97)</f>
        <v>50</v>
      </c>
      <c r="P97" s="422"/>
      <c r="Q97" s="422"/>
      <c r="R97" s="422">
        <v>50</v>
      </c>
      <c r="S97" s="422"/>
      <c r="T97" s="125"/>
      <c r="U97" s="8">
        <v>50</v>
      </c>
    </row>
    <row r="98" spans="1:209" s="8" customFormat="1" ht="31.5" x14ac:dyDescent="0.25">
      <c r="A98" s="272"/>
      <c r="B98" s="312" t="s">
        <v>465</v>
      </c>
      <c r="C98" s="124">
        <f t="shared" si="25"/>
        <v>20</v>
      </c>
      <c r="D98" s="422"/>
      <c r="E98" s="422"/>
      <c r="F98" s="414">
        <v>20</v>
      </c>
      <c r="G98" s="422"/>
      <c r="H98" s="422"/>
      <c r="I98" s="124">
        <f t="shared" si="18"/>
        <v>20</v>
      </c>
      <c r="J98" s="422"/>
      <c r="K98" s="422"/>
      <c r="L98" s="422">
        <v>20</v>
      </c>
      <c r="M98" s="422"/>
      <c r="N98" s="422"/>
      <c r="O98" s="124">
        <f>SUM(P98:T98)</f>
        <v>20</v>
      </c>
      <c r="P98" s="422"/>
      <c r="Q98" s="422"/>
      <c r="R98" s="422">
        <v>20</v>
      </c>
      <c r="S98" s="422"/>
      <c r="T98" s="125"/>
      <c r="U98" s="8">
        <v>20</v>
      </c>
    </row>
    <row r="99" spans="1:209" s="8" customFormat="1" ht="63" x14ac:dyDescent="0.25">
      <c r="A99" s="272"/>
      <c r="B99" s="312" t="s">
        <v>457</v>
      </c>
      <c r="C99" s="124">
        <f t="shared" si="25"/>
        <v>25</v>
      </c>
      <c r="D99" s="422"/>
      <c r="E99" s="422"/>
      <c r="F99" s="414">
        <v>25</v>
      </c>
      <c r="G99" s="422"/>
      <c r="H99" s="422"/>
      <c r="I99" s="124">
        <f t="shared" si="18"/>
        <v>24.9</v>
      </c>
      <c r="J99" s="422"/>
      <c r="K99" s="422"/>
      <c r="L99" s="422">
        <v>24.9</v>
      </c>
      <c r="M99" s="422"/>
      <c r="N99" s="422"/>
      <c r="O99" s="124">
        <f>SUM(P99:T99)</f>
        <v>24.9</v>
      </c>
      <c r="P99" s="422">
        <v>0</v>
      </c>
      <c r="Q99" s="422"/>
      <c r="R99" s="422">
        <v>24.9</v>
      </c>
      <c r="S99" s="422">
        <v>0</v>
      </c>
      <c r="T99" s="125"/>
      <c r="U99" s="8">
        <v>25</v>
      </c>
    </row>
    <row r="100" spans="1:209" s="328" customFormat="1" ht="31.5" x14ac:dyDescent="0.25">
      <c r="A100" s="325"/>
      <c r="B100" s="316" t="s">
        <v>801</v>
      </c>
      <c r="C100" s="124">
        <f t="shared" si="25"/>
        <v>971</v>
      </c>
      <c r="D100" s="437"/>
      <c r="E100" s="437"/>
      <c r="F100" s="438">
        <f>F101+F107</f>
        <v>971</v>
      </c>
      <c r="G100" s="437"/>
      <c r="H100" s="437"/>
      <c r="I100" s="124">
        <f t="shared" si="18"/>
        <v>1067.1500000000001</v>
      </c>
      <c r="J100" s="437"/>
      <c r="K100" s="437"/>
      <c r="L100" s="438">
        <f>L101+L107</f>
        <v>1067.1500000000001</v>
      </c>
      <c r="M100" s="437"/>
      <c r="N100" s="437"/>
      <c r="O100" s="124">
        <f t="shared" si="24"/>
        <v>909.68149999999991</v>
      </c>
      <c r="P100" s="437"/>
      <c r="Q100" s="437"/>
      <c r="R100" s="438">
        <f>R101+R107</f>
        <v>909.68149999999991</v>
      </c>
      <c r="S100" s="437"/>
      <c r="T100" s="420"/>
      <c r="U100" s="438">
        <f>U101+U107</f>
        <v>989.05</v>
      </c>
    </row>
    <row r="101" spans="1:209" s="305" customFormat="1" ht="31.5" x14ac:dyDescent="0.25">
      <c r="A101" s="298"/>
      <c r="B101" s="346" t="s">
        <v>802</v>
      </c>
      <c r="C101" s="425">
        <f t="shared" si="25"/>
        <v>643</v>
      </c>
      <c r="D101" s="439"/>
      <c r="E101" s="439"/>
      <c r="F101" s="440">
        <f>SUM(F102:F106)</f>
        <v>643</v>
      </c>
      <c r="G101" s="439"/>
      <c r="H101" s="439"/>
      <c r="I101" s="124">
        <f t="shared" si="18"/>
        <v>1017.085</v>
      </c>
      <c r="J101" s="439"/>
      <c r="K101" s="439"/>
      <c r="L101" s="440">
        <f>SUM(L102:L106)</f>
        <v>1017.085</v>
      </c>
      <c r="M101" s="439"/>
      <c r="N101" s="439"/>
      <c r="O101" s="425">
        <f t="shared" si="24"/>
        <v>859.61649999999997</v>
      </c>
      <c r="P101" s="439"/>
      <c r="Q101" s="439"/>
      <c r="R101" s="440">
        <f>SUM(R102:R106)</f>
        <v>859.61649999999997</v>
      </c>
      <c r="S101" s="439"/>
      <c r="T101" s="424"/>
      <c r="U101" s="440">
        <f>SUM(U102:U106)</f>
        <v>886.05</v>
      </c>
    </row>
    <row r="102" spans="1:209" s="8" customFormat="1" ht="47.25" x14ac:dyDescent="0.25">
      <c r="A102" s="272"/>
      <c r="B102" s="347" t="s">
        <v>803</v>
      </c>
      <c r="C102" s="425">
        <f t="shared" si="25"/>
        <v>0</v>
      </c>
      <c r="D102" s="422"/>
      <c r="E102" s="422"/>
      <c r="F102" s="414"/>
      <c r="G102" s="422"/>
      <c r="H102" s="422"/>
      <c r="I102" s="124">
        <f t="shared" si="18"/>
        <v>231.58500000000001</v>
      </c>
      <c r="J102" s="422"/>
      <c r="K102" s="422"/>
      <c r="L102" s="422">
        <v>231.58500000000001</v>
      </c>
      <c r="M102" s="422"/>
      <c r="N102" s="422"/>
      <c r="O102" s="427">
        <f t="shared" si="24"/>
        <v>74.116500000000002</v>
      </c>
      <c r="P102" s="422"/>
      <c r="Q102" s="422"/>
      <c r="R102" s="422">
        <v>74.116500000000002</v>
      </c>
      <c r="S102" s="422"/>
      <c r="T102" s="125"/>
      <c r="U102" s="8">
        <v>98.05</v>
      </c>
    </row>
    <row r="103" spans="1:209" s="8" customFormat="1" ht="94.5" x14ac:dyDescent="0.25">
      <c r="A103" s="272"/>
      <c r="B103" s="347" t="s">
        <v>458</v>
      </c>
      <c r="C103" s="124">
        <f t="shared" si="23"/>
        <v>250</v>
      </c>
      <c r="D103" s="422"/>
      <c r="E103" s="422"/>
      <c r="F103" s="414">
        <v>250</v>
      </c>
      <c r="G103" s="422"/>
      <c r="H103" s="422"/>
      <c r="I103" s="124">
        <f t="shared" si="18"/>
        <v>250</v>
      </c>
      <c r="J103" s="422"/>
      <c r="K103" s="422"/>
      <c r="L103" s="422">
        <v>250</v>
      </c>
      <c r="M103" s="422"/>
      <c r="N103" s="422"/>
      <c r="O103" s="124">
        <f t="shared" si="24"/>
        <v>250</v>
      </c>
      <c r="P103" s="422">
        <v>0</v>
      </c>
      <c r="Q103" s="422"/>
      <c r="R103" s="422">
        <v>250</v>
      </c>
      <c r="S103" s="422">
        <v>0</v>
      </c>
      <c r="T103" s="125"/>
      <c r="U103" s="8">
        <v>250</v>
      </c>
    </row>
    <row r="104" spans="1:209" s="8" customFormat="1" ht="110.25" x14ac:dyDescent="0.25">
      <c r="A104" s="272"/>
      <c r="B104" s="347" t="s">
        <v>459</v>
      </c>
      <c r="C104" s="124">
        <f t="shared" si="23"/>
        <v>100</v>
      </c>
      <c r="D104" s="422"/>
      <c r="E104" s="422"/>
      <c r="F104" s="129">
        <v>100</v>
      </c>
      <c r="G104" s="422"/>
      <c r="H104" s="422"/>
      <c r="I104" s="124">
        <f t="shared" si="18"/>
        <v>100</v>
      </c>
      <c r="J104" s="422"/>
      <c r="K104" s="422"/>
      <c r="L104" s="422">
        <v>100</v>
      </c>
      <c r="M104" s="422"/>
      <c r="N104" s="422"/>
      <c r="O104" s="124">
        <f t="shared" si="24"/>
        <v>100</v>
      </c>
      <c r="P104" s="422"/>
      <c r="Q104" s="422"/>
      <c r="R104" s="422">
        <v>100</v>
      </c>
      <c r="S104" s="422"/>
      <c r="T104" s="125"/>
      <c r="U104" s="8">
        <v>100</v>
      </c>
    </row>
    <row r="105" spans="1:209" s="8" customFormat="1" ht="78.75" x14ac:dyDescent="0.25">
      <c r="A105" s="272"/>
      <c r="B105" s="347" t="s">
        <v>460</v>
      </c>
      <c r="C105" s="124">
        <f t="shared" si="23"/>
        <v>263</v>
      </c>
      <c r="D105" s="422"/>
      <c r="E105" s="422"/>
      <c r="F105" s="414">
        <v>263</v>
      </c>
      <c r="G105" s="422"/>
      <c r="H105" s="422"/>
      <c r="I105" s="124">
        <f t="shared" si="18"/>
        <v>405.5</v>
      </c>
      <c r="J105" s="422"/>
      <c r="K105" s="422"/>
      <c r="L105" s="422">
        <v>405.5</v>
      </c>
      <c r="M105" s="422"/>
      <c r="N105" s="422"/>
      <c r="O105" s="124">
        <f t="shared" si="24"/>
        <v>405.5</v>
      </c>
      <c r="P105" s="422"/>
      <c r="Q105" s="422"/>
      <c r="R105" s="422">
        <v>405.5</v>
      </c>
      <c r="S105" s="422"/>
      <c r="T105" s="125"/>
      <c r="U105" s="8">
        <v>438</v>
      </c>
    </row>
    <row r="106" spans="1:209" s="8" customFormat="1" ht="31.5" x14ac:dyDescent="0.25">
      <c r="A106" s="272"/>
      <c r="B106" s="347" t="s">
        <v>461</v>
      </c>
      <c r="C106" s="124">
        <f t="shared" si="23"/>
        <v>30</v>
      </c>
      <c r="D106" s="422"/>
      <c r="E106" s="422"/>
      <c r="F106" s="129">
        <v>30</v>
      </c>
      <c r="G106" s="422"/>
      <c r="H106" s="422"/>
      <c r="I106" s="124">
        <f t="shared" si="18"/>
        <v>30</v>
      </c>
      <c r="J106" s="422"/>
      <c r="K106" s="422"/>
      <c r="L106" s="422">
        <v>30</v>
      </c>
      <c r="M106" s="422"/>
      <c r="N106" s="422"/>
      <c r="O106" s="124">
        <f t="shared" si="24"/>
        <v>30</v>
      </c>
      <c r="P106" s="422"/>
      <c r="Q106" s="422"/>
      <c r="R106" s="422">
        <v>30</v>
      </c>
      <c r="S106" s="422"/>
      <c r="T106" s="125"/>
    </row>
    <row r="107" spans="1:209" s="305" customFormat="1" ht="31.5" x14ac:dyDescent="0.25">
      <c r="A107" s="298"/>
      <c r="B107" s="346" t="s">
        <v>804</v>
      </c>
      <c r="C107" s="124">
        <f t="shared" si="23"/>
        <v>328</v>
      </c>
      <c r="D107" s="439"/>
      <c r="E107" s="439"/>
      <c r="F107" s="429">
        <f>SUM(F108:F109)</f>
        <v>328</v>
      </c>
      <c r="G107" s="439"/>
      <c r="H107" s="439"/>
      <c r="I107" s="124">
        <f t="shared" si="18"/>
        <v>50.064999999999998</v>
      </c>
      <c r="J107" s="439"/>
      <c r="K107" s="439"/>
      <c r="L107" s="429">
        <f>SUM(L108:L109)</f>
        <v>50.064999999999998</v>
      </c>
      <c r="M107" s="439"/>
      <c r="N107" s="439"/>
      <c r="O107" s="428"/>
      <c r="P107" s="439"/>
      <c r="Q107" s="439"/>
      <c r="R107" s="429">
        <f>SUM(R108:R109)</f>
        <v>50.064999999999998</v>
      </c>
      <c r="S107" s="439"/>
      <c r="T107" s="424"/>
      <c r="U107" s="429">
        <f>SUM(U108:U109)</f>
        <v>103</v>
      </c>
    </row>
    <row r="108" spans="1:209" s="8" customFormat="1" ht="31.5" x14ac:dyDescent="0.25">
      <c r="A108" s="272"/>
      <c r="B108" s="347" t="s">
        <v>462</v>
      </c>
      <c r="C108" s="124">
        <f t="shared" si="23"/>
        <v>190</v>
      </c>
      <c r="D108" s="422"/>
      <c r="E108" s="422"/>
      <c r="F108" s="129">
        <v>190</v>
      </c>
      <c r="G108" s="422"/>
      <c r="H108" s="422"/>
      <c r="I108" s="124">
        <f t="shared" si="18"/>
        <v>0</v>
      </c>
      <c r="J108" s="422"/>
      <c r="K108" s="422"/>
      <c r="L108" s="422"/>
      <c r="M108" s="422"/>
      <c r="N108" s="422"/>
      <c r="O108" s="124">
        <f t="shared" si="24"/>
        <v>0</v>
      </c>
      <c r="P108" s="422"/>
      <c r="Q108" s="422"/>
      <c r="R108" s="422"/>
      <c r="S108" s="422"/>
      <c r="T108" s="125"/>
    </row>
    <row r="109" spans="1:209" s="8" customFormat="1" x14ac:dyDescent="0.25">
      <c r="A109" s="272"/>
      <c r="B109" s="348" t="s">
        <v>464</v>
      </c>
      <c r="C109" s="124">
        <f t="shared" si="23"/>
        <v>138</v>
      </c>
      <c r="D109" s="422"/>
      <c r="E109" s="422"/>
      <c r="F109" s="129">
        <v>138</v>
      </c>
      <c r="G109" s="422"/>
      <c r="H109" s="422"/>
      <c r="I109" s="124">
        <f t="shared" si="18"/>
        <v>50.064999999999998</v>
      </c>
      <c r="J109" s="422"/>
      <c r="K109" s="422"/>
      <c r="L109" s="422">
        <v>50.064999999999998</v>
      </c>
      <c r="M109" s="422"/>
      <c r="N109" s="422"/>
      <c r="O109" s="124">
        <f t="shared" si="24"/>
        <v>50.064999999999998</v>
      </c>
      <c r="P109" s="422"/>
      <c r="Q109" s="422"/>
      <c r="R109" s="422">
        <v>50.064999999999998</v>
      </c>
      <c r="S109" s="422"/>
      <c r="T109" s="125"/>
      <c r="U109" s="8">
        <v>103</v>
      </c>
    </row>
    <row r="110" spans="1:209" s="328" customFormat="1" x14ac:dyDescent="0.25">
      <c r="A110" s="325"/>
      <c r="B110" s="349" t="s">
        <v>805</v>
      </c>
      <c r="C110" s="124">
        <f t="shared" si="23"/>
        <v>0</v>
      </c>
      <c r="D110" s="437"/>
      <c r="E110" s="437"/>
      <c r="F110" s="417"/>
      <c r="G110" s="437"/>
      <c r="H110" s="437"/>
      <c r="I110" s="124">
        <f t="shared" si="18"/>
        <v>73.77</v>
      </c>
      <c r="J110" s="437"/>
      <c r="K110" s="437"/>
      <c r="L110" s="437">
        <f>L111</f>
        <v>73.77</v>
      </c>
      <c r="M110" s="437"/>
      <c r="N110" s="437"/>
      <c r="O110" s="124">
        <f t="shared" si="24"/>
        <v>73.77</v>
      </c>
      <c r="P110" s="437"/>
      <c r="Q110" s="437"/>
      <c r="R110" s="437">
        <f>R111</f>
        <v>73.77</v>
      </c>
      <c r="S110" s="437"/>
      <c r="T110" s="420"/>
      <c r="U110" s="437">
        <f>U111</f>
        <v>73.77</v>
      </c>
    </row>
    <row r="111" spans="1:209" s="8" customFormat="1" ht="47.25" x14ac:dyDescent="0.25">
      <c r="A111" s="272"/>
      <c r="B111" s="347" t="s">
        <v>806</v>
      </c>
      <c r="C111" s="124">
        <f t="shared" si="23"/>
        <v>0</v>
      </c>
      <c r="D111" s="422"/>
      <c r="E111" s="422"/>
      <c r="F111" s="129"/>
      <c r="G111" s="422"/>
      <c r="H111" s="422"/>
      <c r="I111" s="124">
        <f t="shared" si="18"/>
        <v>73.77</v>
      </c>
      <c r="J111" s="422"/>
      <c r="K111" s="422"/>
      <c r="L111" s="422">
        <v>73.77</v>
      </c>
      <c r="M111" s="422"/>
      <c r="N111" s="422"/>
      <c r="O111" s="124">
        <f t="shared" si="24"/>
        <v>73.77</v>
      </c>
      <c r="P111" s="422"/>
      <c r="Q111" s="422"/>
      <c r="R111" s="422">
        <v>73.77</v>
      </c>
      <c r="S111" s="422"/>
      <c r="T111" s="125"/>
      <c r="U111" s="8">
        <v>73.77</v>
      </c>
    </row>
    <row r="112" spans="1:209" s="283" customFormat="1" ht="47.25" x14ac:dyDescent="0.3">
      <c r="A112" s="551">
        <v>11</v>
      </c>
      <c r="B112" s="317" t="s">
        <v>1182</v>
      </c>
      <c r="C112" s="149">
        <f>SUM(D112:H112)</f>
        <v>1698.8</v>
      </c>
      <c r="D112" s="149">
        <v>0</v>
      </c>
      <c r="E112" s="149">
        <v>0</v>
      </c>
      <c r="F112" s="149">
        <f>SUM(F113+F115+F119)</f>
        <v>1698.8</v>
      </c>
      <c r="G112" s="149">
        <v>0</v>
      </c>
      <c r="H112" s="149">
        <v>0</v>
      </c>
      <c r="I112" s="149">
        <f t="shared" si="18"/>
        <v>4442.3</v>
      </c>
      <c r="J112" s="149">
        <v>0</v>
      </c>
      <c r="K112" s="149">
        <v>0</v>
      </c>
      <c r="L112" s="149">
        <f>SUM(L113+L115+L119+L121)</f>
        <v>4442.3</v>
      </c>
      <c r="M112" s="149">
        <v>0</v>
      </c>
      <c r="N112" s="149">
        <v>0</v>
      </c>
      <c r="O112" s="149">
        <f t="shared" ref="O112:O117" si="26">SUM(P112:T112)</f>
        <v>4164.7224200000001</v>
      </c>
      <c r="P112" s="150">
        <v>0</v>
      </c>
      <c r="Q112" s="150">
        <v>0</v>
      </c>
      <c r="R112" s="149">
        <f>SUM(R113+R115+R119+R121)</f>
        <v>4164.7224200000001</v>
      </c>
      <c r="S112" s="150">
        <v>0</v>
      </c>
      <c r="T112" s="150">
        <v>0</v>
      </c>
      <c r="U112" s="149">
        <f>SUM(U113+U115+U119)</f>
        <v>3969.2249999999999</v>
      </c>
      <c r="V112" s="735">
        <f>O112/I112*100</f>
        <v>93.751489543704835</v>
      </c>
      <c r="W112" s="734"/>
      <c r="X112" s="739"/>
      <c r="Y112" s="736"/>
      <c r="Z112" s="736"/>
      <c r="AA112" s="734"/>
      <c r="AB112" s="734"/>
      <c r="AC112" s="734"/>
      <c r="AD112" s="734"/>
      <c r="AE112" s="734"/>
      <c r="AF112" s="734"/>
      <c r="AG112" s="734"/>
      <c r="AH112" s="734"/>
      <c r="AI112" s="734"/>
      <c r="AJ112" s="734"/>
      <c r="AK112" s="734"/>
      <c r="AL112" s="734"/>
      <c r="AM112" s="734"/>
      <c r="AN112" s="734"/>
      <c r="AO112" s="734"/>
      <c r="AP112" s="734"/>
      <c r="AQ112" s="734"/>
      <c r="AR112" s="734"/>
      <c r="AS112" s="734"/>
      <c r="AT112" s="734"/>
      <c r="AU112" s="734"/>
      <c r="AV112" s="734"/>
      <c r="AW112" s="734"/>
      <c r="AX112" s="734"/>
      <c r="AY112" s="734"/>
      <c r="AZ112" s="734"/>
      <c r="BA112" s="734"/>
      <c r="BB112" s="734"/>
      <c r="BC112" s="734"/>
      <c r="BD112" s="734"/>
      <c r="BE112" s="734"/>
      <c r="BF112" s="734"/>
      <c r="BG112" s="734"/>
      <c r="BH112" s="734"/>
      <c r="BI112" s="734"/>
      <c r="BJ112" s="734"/>
      <c r="BK112" s="734"/>
      <c r="BL112" s="734"/>
      <c r="BM112" s="734"/>
      <c r="BN112" s="734"/>
      <c r="BO112" s="734"/>
      <c r="BP112" s="734"/>
      <c r="BQ112" s="734"/>
      <c r="BR112" s="734"/>
      <c r="BS112" s="734"/>
      <c r="BT112" s="734"/>
      <c r="BU112" s="734"/>
      <c r="BV112" s="734"/>
      <c r="BW112" s="734"/>
      <c r="BX112" s="734"/>
      <c r="BY112" s="734"/>
      <c r="BZ112" s="734"/>
      <c r="CA112" s="734"/>
      <c r="CB112" s="734"/>
      <c r="CC112" s="734"/>
      <c r="CD112" s="734"/>
      <c r="CE112" s="734"/>
      <c r="CF112" s="734"/>
      <c r="CG112" s="734"/>
      <c r="CH112" s="734"/>
      <c r="CI112" s="734"/>
      <c r="CJ112" s="734"/>
      <c r="CK112" s="734"/>
      <c r="CL112" s="734"/>
      <c r="CM112" s="734"/>
      <c r="CN112" s="734"/>
      <c r="CO112" s="734"/>
      <c r="CP112" s="734"/>
      <c r="CQ112" s="734"/>
      <c r="CR112" s="734"/>
      <c r="CS112" s="734"/>
      <c r="CT112" s="734"/>
      <c r="CU112" s="734"/>
      <c r="CV112" s="734"/>
      <c r="CW112" s="734"/>
      <c r="CX112" s="734"/>
      <c r="CY112" s="734"/>
      <c r="CZ112" s="734"/>
      <c r="DA112" s="734"/>
      <c r="DB112" s="734"/>
      <c r="DC112" s="734"/>
      <c r="DD112" s="734"/>
      <c r="DE112" s="734"/>
      <c r="DF112" s="734"/>
      <c r="DG112" s="734"/>
      <c r="DH112" s="734"/>
      <c r="DI112" s="734"/>
      <c r="DJ112" s="734"/>
      <c r="DK112" s="734"/>
      <c r="DL112" s="734"/>
      <c r="DM112" s="734"/>
      <c r="DN112" s="734"/>
      <c r="DO112" s="734"/>
      <c r="DP112" s="734"/>
      <c r="DQ112" s="734"/>
      <c r="DR112" s="734"/>
      <c r="DS112" s="734"/>
      <c r="DT112" s="734"/>
      <c r="DU112" s="734"/>
      <c r="DV112" s="734"/>
      <c r="DW112" s="734"/>
      <c r="DX112" s="734"/>
      <c r="DY112" s="734"/>
      <c r="DZ112" s="734"/>
      <c r="EA112" s="734"/>
      <c r="EB112" s="734"/>
      <c r="EC112" s="734"/>
      <c r="ED112" s="734"/>
      <c r="EE112" s="734"/>
      <c r="EF112" s="734"/>
      <c r="EG112" s="734"/>
      <c r="EH112" s="734"/>
      <c r="EI112" s="734"/>
      <c r="EJ112" s="734"/>
      <c r="EK112" s="734"/>
      <c r="EL112" s="734"/>
      <c r="EM112" s="734"/>
      <c r="EN112" s="734"/>
      <c r="EO112" s="734"/>
      <c r="EP112" s="734"/>
      <c r="EQ112" s="734"/>
      <c r="ER112" s="734"/>
      <c r="ES112" s="734"/>
      <c r="ET112" s="734"/>
      <c r="EU112" s="734"/>
      <c r="EV112" s="734"/>
      <c r="EW112" s="734"/>
      <c r="EX112" s="734"/>
      <c r="EY112" s="734"/>
      <c r="EZ112" s="734"/>
      <c r="FA112" s="734"/>
      <c r="FB112" s="734"/>
      <c r="FC112" s="734"/>
      <c r="FD112" s="734"/>
      <c r="FE112" s="734"/>
      <c r="FF112" s="734"/>
      <c r="FG112" s="734"/>
      <c r="FH112" s="734"/>
      <c r="FI112" s="734"/>
      <c r="FJ112" s="734"/>
      <c r="FK112" s="734"/>
      <c r="FL112" s="734"/>
      <c r="FM112" s="734"/>
      <c r="FN112" s="734"/>
      <c r="FO112" s="734"/>
      <c r="FP112" s="734"/>
      <c r="FQ112" s="734"/>
      <c r="FR112" s="734"/>
      <c r="FS112" s="734"/>
      <c r="FT112" s="734"/>
      <c r="FU112" s="734"/>
      <c r="FV112" s="734"/>
      <c r="FW112" s="734"/>
      <c r="FX112" s="734"/>
      <c r="FY112" s="734"/>
      <c r="FZ112" s="734"/>
      <c r="GA112" s="734"/>
      <c r="GB112" s="734"/>
      <c r="GC112" s="734"/>
      <c r="GD112" s="734"/>
      <c r="GE112" s="734"/>
      <c r="GF112" s="734"/>
      <c r="GG112" s="734"/>
      <c r="GH112" s="734"/>
      <c r="GI112" s="734"/>
      <c r="GJ112" s="734"/>
      <c r="GK112" s="734"/>
      <c r="GL112" s="734"/>
      <c r="GM112" s="734"/>
      <c r="GN112" s="734"/>
      <c r="GO112" s="734"/>
      <c r="GP112" s="734"/>
      <c r="GQ112" s="734"/>
      <c r="GR112" s="734"/>
      <c r="GS112" s="734"/>
      <c r="GT112" s="734"/>
      <c r="GU112" s="734"/>
      <c r="GV112" s="734"/>
      <c r="GW112" s="734"/>
      <c r="GX112" s="734"/>
      <c r="GY112" s="734"/>
      <c r="GZ112" s="734"/>
      <c r="HA112" s="734"/>
    </row>
    <row r="113" spans="1:209" s="328" customFormat="1" x14ac:dyDescent="0.25">
      <c r="A113" s="325" t="s">
        <v>782</v>
      </c>
      <c r="B113" s="351" t="s">
        <v>541</v>
      </c>
      <c r="C113" s="124">
        <f>C114</f>
        <v>698.8</v>
      </c>
      <c r="D113" s="420"/>
      <c r="E113" s="420"/>
      <c r="F113" s="420">
        <f>F114</f>
        <v>698.8</v>
      </c>
      <c r="G113" s="420"/>
      <c r="H113" s="420"/>
      <c r="I113" s="124">
        <f>SUM(J113:N113)</f>
        <v>692.3</v>
      </c>
      <c r="J113" s="420"/>
      <c r="K113" s="420"/>
      <c r="L113" s="420">
        <f>L114</f>
        <v>692.3</v>
      </c>
      <c r="M113" s="420"/>
      <c r="N113" s="420"/>
      <c r="O113" s="124">
        <f>SUM(P113:T113)</f>
        <v>539.22175000000004</v>
      </c>
      <c r="P113" s="420"/>
      <c r="Q113" s="420"/>
      <c r="R113" s="420">
        <f>R114</f>
        <v>539.22175000000004</v>
      </c>
      <c r="S113" s="420"/>
      <c r="T113" s="420"/>
      <c r="U113" s="420">
        <f>U114</f>
        <v>519.22499999999991</v>
      </c>
    </row>
    <row r="114" spans="1:209" s="8" customFormat="1" ht="31.5" x14ac:dyDescent="0.25">
      <c r="A114" s="272"/>
      <c r="B114" s="352" t="s">
        <v>469</v>
      </c>
      <c r="C114" s="124">
        <f>SUM(D114:H114)</f>
        <v>698.8</v>
      </c>
      <c r="D114" s="125"/>
      <c r="E114" s="125"/>
      <c r="F114" s="125">
        <v>698.8</v>
      </c>
      <c r="G114" s="125"/>
      <c r="H114" s="125"/>
      <c r="I114" s="124">
        <f>SUM(J114:N114)</f>
        <v>692.3</v>
      </c>
      <c r="J114" s="125"/>
      <c r="K114" s="125"/>
      <c r="L114" s="125">
        <v>692.3</v>
      </c>
      <c r="M114" s="125"/>
      <c r="N114" s="125"/>
      <c r="O114" s="124">
        <f>SUM(P114:T114)</f>
        <v>539.22175000000004</v>
      </c>
      <c r="P114" s="125"/>
      <c r="Q114" s="125"/>
      <c r="R114" s="125">
        <v>539.22175000000004</v>
      </c>
      <c r="S114" s="125"/>
      <c r="T114" s="125"/>
      <c r="U114" s="8">
        <f>L114/4*3</f>
        <v>519.22499999999991</v>
      </c>
    </row>
    <row r="115" spans="1:209" s="328" customFormat="1" x14ac:dyDescent="0.25">
      <c r="A115" s="325" t="s">
        <v>783</v>
      </c>
      <c r="B115" s="351" t="s">
        <v>466</v>
      </c>
      <c r="C115" s="124">
        <f ca="1">SUM(C113:C117)</f>
        <v>1248.8</v>
      </c>
      <c r="D115" s="441"/>
      <c r="E115" s="441"/>
      <c r="F115" s="441">
        <f>SUM(F116:F118)</f>
        <v>0</v>
      </c>
      <c r="G115" s="441"/>
      <c r="H115" s="441"/>
      <c r="I115" s="124">
        <f t="shared" si="18"/>
        <v>750</v>
      </c>
      <c r="J115" s="441"/>
      <c r="K115" s="441"/>
      <c r="L115" s="441">
        <f>SUM(L116:L118)</f>
        <v>750</v>
      </c>
      <c r="M115" s="441"/>
      <c r="N115" s="441"/>
      <c r="O115" s="124">
        <f t="shared" si="26"/>
        <v>750</v>
      </c>
      <c r="P115" s="407"/>
      <c r="Q115" s="407"/>
      <c r="R115" s="441">
        <f>SUM(R116:R118)</f>
        <v>750</v>
      </c>
      <c r="S115" s="407"/>
      <c r="T115" s="407"/>
      <c r="U115" s="441">
        <f>SUM(U116:U118)</f>
        <v>750</v>
      </c>
    </row>
    <row r="116" spans="1:209" s="8" customFormat="1" ht="38.25" hidden="1" customHeight="1" x14ac:dyDescent="0.25">
      <c r="A116" s="272"/>
      <c r="B116" s="353" t="s">
        <v>467</v>
      </c>
      <c r="C116" s="124">
        <f>SUM(D116:H116)</f>
        <v>0</v>
      </c>
      <c r="D116" s="408"/>
      <c r="E116" s="408"/>
      <c r="F116" s="408"/>
      <c r="G116" s="408"/>
      <c r="H116" s="408"/>
      <c r="I116" s="124">
        <f t="shared" si="18"/>
        <v>0</v>
      </c>
      <c r="J116" s="125"/>
      <c r="K116" s="125"/>
      <c r="L116" s="125"/>
      <c r="M116" s="125"/>
      <c r="N116" s="125"/>
      <c r="O116" s="124">
        <f t="shared" si="26"/>
        <v>0</v>
      </c>
      <c r="P116" s="125"/>
      <c r="Q116" s="125"/>
      <c r="R116" s="125"/>
      <c r="S116" s="125"/>
      <c r="T116" s="125"/>
    </row>
    <row r="117" spans="1:209" s="8" customFormat="1" ht="47.25" hidden="1" x14ac:dyDescent="0.25">
      <c r="A117" s="272"/>
      <c r="B117" s="353" t="s">
        <v>468</v>
      </c>
      <c r="C117" s="124">
        <f>SUM(D117:H117)</f>
        <v>0</v>
      </c>
      <c r="D117" s="125"/>
      <c r="E117" s="125"/>
      <c r="F117" s="125"/>
      <c r="G117" s="125"/>
      <c r="H117" s="125"/>
      <c r="I117" s="124">
        <f t="shared" si="18"/>
        <v>0</v>
      </c>
      <c r="J117" s="125"/>
      <c r="K117" s="125"/>
      <c r="L117" s="125"/>
      <c r="M117" s="125"/>
      <c r="N117" s="125"/>
      <c r="O117" s="124">
        <f t="shared" si="26"/>
        <v>0</v>
      </c>
      <c r="P117" s="125"/>
      <c r="Q117" s="125"/>
      <c r="R117" s="125"/>
      <c r="S117" s="125"/>
      <c r="T117" s="125"/>
    </row>
    <row r="118" spans="1:209" s="8" customFormat="1" ht="47.25" x14ac:dyDescent="0.25">
      <c r="A118" s="272"/>
      <c r="B118" s="353" t="s">
        <v>785</v>
      </c>
      <c r="C118" s="124">
        <f>SUM(D118:H118)</f>
        <v>0</v>
      </c>
      <c r="D118" s="125"/>
      <c r="E118" s="125"/>
      <c r="F118" s="125"/>
      <c r="G118" s="125"/>
      <c r="H118" s="125"/>
      <c r="I118" s="124">
        <f t="shared" ref="I118:I137" si="27">SUM(J118:N118)</f>
        <v>750</v>
      </c>
      <c r="J118" s="125"/>
      <c r="K118" s="125"/>
      <c r="L118" s="125">
        <v>750</v>
      </c>
      <c r="M118" s="125"/>
      <c r="N118" s="125"/>
      <c r="O118" s="124">
        <f t="shared" ref="O118:O137" si="28">SUM(P118:T118)</f>
        <v>750</v>
      </c>
      <c r="P118" s="125"/>
      <c r="Q118" s="125"/>
      <c r="R118" s="125">
        <v>750</v>
      </c>
      <c r="S118" s="125"/>
      <c r="T118" s="125"/>
      <c r="U118" s="8">
        <v>750</v>
      </c>
    </row>
    <row r="119" spans="1:209" s="328" customFormat="1" ht="21.75" customHeight="1" x14ac:dyDescent="0.25">
      <c r="A119" s="325" t="s">
        <v>784</v>
      </c>
      <c r="B119" s="354" t="s">
        <v>787</v>
      </c>
      <c r="C119" s="124">
        <f>SUM(D119:H119)</f>
        <v>1000</v>
      </c>
      <c r="D119" s="420"/>
      <c r="E119" s="420"/>
      <c r="F119" s="420">
        <f>F120</f>
        <v>1000</v>
      </c>
      <c r="G119" s="420"/>
      <c r="H119" s="420"/>
      <c r="I119" s="124">
        <f t="shared" si="27"/>
        <v>2700</v>
      </c>
      <c r="J119" s="420"/>
      <c r="K119" s="420"/>
      <c r="L119" s="420">
        <f>L120</f>
        <v>2700</v>
      </c>
      <c r="M119" s="420"/>
      <c r="N119" s="420"/>
      <c r="O119" s="124">
        <f t="shared" si="28"/>
        <v>2700</v>
      </c>
      <c r="P119" s="420"/>
      <c r="Q119" s="420"/>
      <c r="R119" s="420">
        <f>R120</f>
        <v>2700</v>
      </c>
      <c r="S119" s="420"/>
      <c r="T119" s="420"/>
      <c r="U119" s="420">
        <f>U120</f>
        <v>2700</v>
      </c>
    </row>
    <row r="120" spans="1:209" s="8" customFormat="1" ht="31.5" x14ac:dyDescent="0.25">
      <c r="A120" s="272"/>
      <c r="B120" s="353" t="s">
        <v>786</v>
      </c>
      <c r="C120" s="124">
        <f t="shared" ref="C120:C121" si="29">SUM(D120:H120)</f>
        <v>1000</v>
      </c>
      <c r="D120" s="125"/>
      <c r="E120" s="125"/>
      <c r="F120" s="125">
        <v>1000</v>
      </c>
      <c r="G120" s="125"/>
      <c r="H120" s="125"/>
      <c r="I120" s="124">
        <f t="shared" si="27"/>
        <v>2700</v>
      </c>
      <c r="J120" s="125"/>
      <c r="K120" s="125"/>
      <c r="L120" s="125">
        <v>2700</v>
      </c>
      <c r="M120" s="125"/>
      <c r="N120" s="125"/>
      <c r="O120" s="124">
        <f t="shared" si="28"/>
        <v>2700</v>
      </c>
      <c r="P120" s="125"/>
      <c r="Q120" s="125"/>
      <c r="R120" s="125">
        <v>2700</v>
      </c>
      <c r="S120" s="125"/>
      <c r="T120" s="125"/>
      <c r="U120" s="8">
        <v>2700</v>
      </c>
    </row>
    <row r="121" spans="1:209" s="328" customFormat="1" ht="31.5" x14ac:dyDescent="0.25">
      <c r="A121" s="325"/>
      <c r="B121" s="354" t="s">
        <v>788</v>
      </c>
      <c r="C121" s="124">
        <f t="shared" si="29"/>
        <v>0</v>
      </c>
      <c r="D121" s="420"/>
      <c r="E121" s="420"/>
      <c r="F121" s="420"/>
      <c r="G121" s="420"/>
      <c r="H121" s="420"/>
      <c r="I121" s="124">
        <f t="shared" si="27"/>
        <v>300</v>
      </c>
      <c r="J121" s="420"/>
      <c r="K121" s="420"/>
      <c r="L121" s="420">
        <v>300</v>
      </c>
      <c r="M121" s="420"/>
      <c r="N121" s="420"/>
      <c r="O121" s="124">
        <f t="shared" si="28"/>
        <v>175.50067000000001</v>
      </c>
      <c r="P121" s="420"/>
      <c r="Q121" s="420"/>
      <c r="R121" s="420">
        <v>175.50067000000001</v>
      </c>
      <c r="S121" s="420"/>
      <c r="T121" s="420"/>
    </row>
    <row r="122" spans="1:209" s="283" customFormat="1" ht="49.5" customHeight="1" x14ac:dyDescent="0.3">
      <c r="A122" s="551">
        <v>12</v>
      </c>
      <c r="B122" s="80" t="s">
        <v>1183</v>
      </c>
      <c r="C122" s="149">
        <f>SUM(D122:H122)</f>
        <v>6551.78</v>
      </c>
      <c r="D122" s="149">
        <v>0</v>
      </c>
      <c r="E122" s="149">
        <v>0</v>
      </c>
      <c r="F122" s="149">
        <f>SUM(F123+F126+F129+F135)+F133</f>
        <v>6551.78</v>
      </c>
      <c r="G122" s="149">
        <v>0</v>
      </c>
      <c r="H122" s="149">
        <v>0</v>
      </c>
      <c r="I122" s="149">
        <f t="shared" si="27"/>
        <v>6672.83</v>
      </c>
      <c r="J122" s="149">
        <v>0</v>
      </c>
      <c r="K122" s="149">
        <v>0</v>
      </c>
      <c r="L122" s="128">
        <f>SUM(L123+L126+L129+L133)+L135</f>
        <v>6672.83</v>
      </c>
      <c r="M122" s="149">
        <v>0</v>
      </c>
      <c r="N122" s="149">
        <v>0</v>
      </c>
      <c r="O122" s="149">
        <f t="shared" si="28"/>
        <v>6672.3200000000006</v>
      </c>
      <c r="P122" s="149">
        <v>0</v>
      </c>
      <c r="Q122" s="149">
        <v>0</v>
      </c>
      <c r="R122" s="128">
        <f>SUM(R123+R126+R129+R133)+R135</f>
        <v>6672.3200000000006</v>
      </c>
      <c r="S122" s="149">
        <v>0</v>
      </c>
      <c r="T122" s="149">
        <v>0</v>
      </c>
      <c r="U122" s="442">
        <f>SUM(U123+U126+U129+U133)+U135</f>
        <v>5843.8324999999995</v>
      </c>
      <c r="V122" s="735">
        <f>O122/I122*100</f>
        <v>99.992357065892591</v>
      </c>
      <c r="W122" s="734"/>
      <c r="X122" s="739"/>
      <c r="Y122" s="736"/>
      <c r="Z122" s="736"/>
      <c r="AA122" s="734"/>
      <c r="AB122" s="734"/>
      <c r="AC122" s="734"/>
      <c r="AD122" s="734"/>
      <c r="AE122" s="734"/>
      <c r="AF122" s="734"/>
      <c r="AG122" s="734"/>
      <c r="AH122" s="734"/>
      <c r="AI122" s="734"/>
      <c r="AJ122" s="734"/>
      <c r="AK122" s="734"/>
      <c r="AL122" s="734"/>
      <c r="AM122" s="734"/>
      <c r="AN122" s="734"/>
      <c r="AO122" s="734"/>
      <c r="AP122" s="734"/>
      <c r="AQ122" s="734"/>
      <c r="AR122" s="734"/>
      <c r="AS122" s="734"/>
      <c r="AT122" s="734"/>
      <c r="AU122" s="734"/>
      <c r="AV122" s="734"/>
      <c r="AW122" s="734"/>
      <c r="AX122" s="734"/>
      <c r="AY122" s="734"/>
      <c r="AZ122" s="734"/>
      <c r="BA122" s="734"/>
      <c r="BB122" s="734"/>
      <c r="BC122" s="734"/>
      <c r="BD122" s="734"/>
      <c r="BE122" s="734"/>
      <c r="BF122" s="734"/>
      <c r="BG122" s="734"/>
      <c r="BH122" s="734"/>
      <c r="BI122" s="734"/>
      <c r="BJ122" s="734"/>
      <c r="BK122" s="734"/>
      <c r="BL122" s="734"/>
      <c r="BM122" s="734"/>
      <c r="BN122" s="734"/>
      <c r="BO122" s="734"/>
      <c r="BP122" s="734"/>
      <c r="BQ122" s="734"/>
      <c r="BR122" s="734"/>
      <c r="BS122" s="734"/>
      <c r="BT122" s="734"/>
      <c r="BU122" s="734"/>
      <c r="BV122" s="734"/>
      <c r="BW122" s="734"/>
      <c r="BX122" s="734"/>
      <c r="BY122" s="734"/>
      <c r="BZ122" s="734"/>
      <c r="CA122" s="734"/>
      <c r="CB122" s="734"/>
      <c r="CC122" s="734"/>
      <c r="CD122" s="734"/>
      <c r="CE122" s="734"/>
      <c r="CF122" s="734"/>
      <c r="CG122" s="734"/>
      <c r="CH122" s="734"/>
      <c r="CI122" s="734"/>
      <c r="CJ122" s="734"/>
      <c r="CK122" s="734"/>
      <c r="CL122" s="734"/>
      <c r="CM122" s="734"/>
      <c r="CN122" s="734"/>
      <c r="CO122" s="734"/>
      <c r="CP122" s="734"/>
      <c r="CQ122" s="734"/>
      <c r="CR122" s="734"/>
      <c r="CS122" s="734"/>
      <c r="CT122" s="734"/>
      <c r="CU122" s="734"/>
      <c r="CV122" s="734"/>
      <c r="CW122" s="734"/>
      <c r="CX122" s="734"/>
      <c r="CY122" s="734"/>
      <c r="CZ122" s="734"/>
      <c r="DA122" s="734"/>
      <c r="DB122" s="734"/>
      <c r="DC122" s="734"/>
      <c r="DD122" s="734"/>
      <c r="DE122" s="734"/>
      <c r="DF122" s="734"/>
      <c r="DG122" s="734"/>
      <c r="DH122" s="734"/>
      <c r="DI122" s="734"/>
      <c r="DJ122" s="734"/>
      <c r="DK122" s="734"/>
      <c r="DL122" s="734"/>
      <c r="DM122" s="734"/>
      <c r="DN122" s="734"/>
      <c r="DO122" s="734"/>
      <c r="DP122" s="734"/>
      <c r="DQ122" s="734"/>
      <c r="DR122" s="734"/>
      <c r="DS122" s="734"/>
      <c r="DT122" s="734"/>
      <c r="DU122" s="734"/>
      <c r="DV122" s="734"/>
      <c r="DW122" s="734"/>
      <c r="DX122" s="734"/>
      <c r="DY122" s="734"/>
      <c r="DZ122" s="734"/>
      <c r="EA122" s="734"/>
      <c r="EB122" s="734"/>
      <c r="EC122" s="734"/>
      <c r="ED122" s="734"/>
      <c r="EE122" s="734"/>
      <c r="EF122" s="734"/>
      <c r="EG122" s="734"/>
      <c r="EH122" s="734"/>
      <c r="EI122" s="734"/>
      <c r="EJ122" s="734"/>
      <c r="EK122" s="734"/>
      <c r="EL122" s="734"/>
      <c r="EM122" s="734"/>
      <c r="EN122" s="734"/>
      <c r="EO122" s="734"/>
      <c r="EP122" s="734"/>
      <c r="EQ122" s="734"/>
      <c r="ER122" s="734"/>
      <c r="ES122" s="734"/>
      <c r="ET122" s="734"/>
      <c r="EU122" s="734"/>
      <c r="EV122" s="734"/>
      <c r="EW122" s="734"/>
      <c r="EX122" s="734"/>
      <c r="EY122" s="734"/>
      <c r="EZ122" s="734"/>
      <c r="FA122" s="734"/>
      <c r="FB122" s="734"/>
      <c r="FC122" s="734"/>
      <c r="FD122" s="734"/>
      <c r="FE122" s="734"/>
      <c r="FF122" s="734"/>
      <c r="FG122" s="734"/>
      <c r="FH122" s="734"/>
      <c r="FI122" s="734"/>
      <c r="FJ122" s="734"/>
      <c r="FK122" s="734"/>
      <c r="FL122" s="734"/>
      <c r="FM122" s="734"/>
      <c r="FN122" s="734"/>
      <c r="FO122" s="734"/>
      <c r="FP122" s="734"/>
      <c r="FQ122" s="734"/>
      <c r="FR122" s="734"/>
      <c r="FS122" s="734"/>
      <c r="FT122" s="734"/>
      <c r="FU122" s="734"/>
      <c r="FV122" s="734"/>
      <c r="FW122" s="734"/>
      <c r="FX122" s="734"/>
      <c r="FY122" s="734"/>
      <c r="FZ122" s="734"/>
      <c r="GA122" s="734"/>
      <c r="GB122" s="734"/>
      <c r="GC122" s="734"/>
      <c r="GD122" s="734"/>
      <c r="GE122" s="734"/>
      <c r="GF122" s="734"/>
      <c r="GG122" s="734"/>
      <c r="GH122" s="734"/>
      <c r="GI122" s="734"/>
      <c r="GJ122" s="734"/>
      <c r="GK122" s="734"/>
      <c r="GL122" s="734"/>
      <c r="GM122" s="734"/>
      <c r="GN122" s="734"/>
      <c r="GO122" s="734"/>
      <c r="GP122" s="734"/>
      <c r="GQ122" s="734"/>
      <c r="GR122" s="734"/>
      <c r="GS122" s="734"/>
      <c r="GT122" s="734"/>
      <c r="GU122" s="734"/>
      <c r="GV122" s="734"/>
      <c r="GW122" s="734"/>
      <c r="GX122" s="734"/>
      <c r="GY122" s="734"/>
      <c r="GZ122" s="734"/>
      <c r="HA122" s="734"/>
    </row>
    <row r="123" spans="1:209" s="8" customFormat="1" ht="31.5" x14ac:dyDescent="0.25">
      <c r="A123" s="272"/>
      <c r="B123" s="57" t="s">
        <v>469</v>
      </c>
      <c r="C123" s="124">
        <f t="shared" ref="C123:C134" si="30">SUM(D123:H123)</f>
        <v>2081.79</v>
      </c>
      <c r="D123" s="125"/>
      <c r="E123" s="125"/>
      <c r="F123" s="420">
        <f>SUM(F124:F125)</f>
        <v>2081.79</v>
      </c>
      <c r="G123" s="125"/>
      <c r="H123" s="125"/>
      <c r="I123" s="124">
        <f t="shared" si="27"/>
        <v>2202.83</v>
      </c>
      <c r="J123" s="420"/>
      <c r="K123" s="420"/>
      <c r="L123" s="437">
        <f>SUM(L124:L125)</f>
        <v>2202.83</v>
      </c>
      <c r="M123" s="420"/>
      <c r="N123" s="420"/>
      <c r="O123" s="124">
        <f t="shared" si="28"/>
        <v>2202.3200000000002</v>
      </c>
      <c r="P123" s="420"/>
      <c r="Q123" s="420"/>
      <c r="R123" s="437">
        <f>SUM(R124:R125)</f>
        <v>2202.3200000000002</v>
      </c>
      <c r="S123" s="125"/>
      <c r="T123" s="125"/>
      <c r="U123" s="8">
        <f>L123/4*3</f>
        <v>1652.1224999999999</v>
      </c>
    </row>
    <row r="124" spans="1:209" s="8" customFormat="1" ht="31.5" x14ac:dyDescent="0.25">
      <c r="A124" s="272"/>
      <c r="B124" s="324" t="s">
        <v>865</v>
      </c>
      <c r="C124" s="124">
        <f t="shared" si="30"/>
        <v>2052.79</v>
      </c>
      <c r="D124" s="125"/>
      <c r="E124" s="125"/>
      <c r="F124" s="422">
        <v>2052.79</v>
      </c>
      <c r="G124" s="125"/>
      <c r="H124" s="125"/>
      <c r="I124" s="124">
        <f t="shared" si="27"/>
        <v>2112.08</v>
      </c>
      <c r="J124" s="125"/>
      <c r="K124" s="125"/>
      <c r="L124" s="125">
        <v>2112.08</v>
      </c>
      <c r="M124" s="125"/>
      <c r="N124" s="125"/>
      <c r="O124" s="124">
        <f t="shared" si="28"/>
        <v>2111.5700000000002</v>
      </c>
      <c r="P124" s="125"/>
      <c r="Q124" s="125"/>
      <c r="R124" s="125">
        <v>2111.5700000000002</v>
      </c>
      <c r="S124" s="125"/>
      <c r="T124" s="125"/>
    </row>
    <row r="125" spans="1:209" s="8" customFormat="1" ht="47.25" x14ac:dyDescent="0.25">
      <c r="A125" s="272"/>
      <c r="B125" s="312" t="s">
        <v>471</v>
      </c>
      <c r="C125" s="124">
        <f t="shared" si="30"/>
        <v>29</v>
      </c>
      <c r="D125" s="125"/>
      <c r="E125" s="125"/>
      <c r="F125" s="125">
        <v>29</v>
      </c>
      <c r="G125" s="125"/>
      <c r="H125" s="125"/>
      <c r="I125" s="124">
        <f t="shared" si="27"/>
        <v>90.75</v>
      </c>
      <c r="J125" s="420"/>
      <c r="K125" s="125"/>
      <c r="L125" s="125">
        <v>90.75</v>
      </c>
      <c r="M125" s="420"/>
      <c r="N125" s="420"/>
      <c r="O125" s="124">
        <f t="shared" si="28"/>
        <v>90.75</v>
      </c>
      <c r="P125" s="420"/>
      <c r="Q125" s="420"/>
      <c r="R125" s="410">
        <v>90.75</v>
      </c>
      <c r="S125" s="125"/>
      <c r="T125" s="125"/>
    </row>
    <row r="126" spans="1:209" s="8" customFormat="1" x14ac:dyDescent="0.25">
      <c r="A126" s="272"/>
      <c r="B126" s="339" t="s">
        <v>472</v>
      </c>
      <c r="C126" s="124">
        <f t="shared" si="30"/>
        <v>727.99</v>
      </c>
      <c r="D126" s="125"/>
      <c r="E126" s="125"/>
      <c r="F126" s="420">
        <f>SUM(F127:F128)</f>
        <v>727.99</v>
      </c>
      <c r="G126" s="125"/>
      <c r="H126" s="125"/>
      <c r="I126" s="124">
        <f t="shared" si="27"/>
        <v>841.75</v>
      </c>
      <c r="J126" s="125"/>
      <c r="K126" s="125"/>
      <c r="L126" s="437">
        <f>SUM(L127:L128)</f>
        <v>841.75</v>
      </c>
      <c r="M126" s="125"/>
      <c r="N126" s="125"/>
      <c r="O126" s="124">
        <f t="shared" si="28"/>
        <v>841.75</v>
      </c>
      <c r="P126" s="125"/>
      <c r="Q126" s="125"/>
      <c r="R126" s="437">
        <f>SUM(R127:R128)</f>
        <v>841.75</v>
      </c>
      <c r="S126" s="125"/>
      <c r="T126" s="125"/>
      <c r="U126" s="443">
        <f>SUM(U127:U128)</f>
        <v>697.62</v>
      </c>
    </row>
    <row r="127" spans="1:209" s="8" customFormat="1" ht="31.5" x14ac:dyDescent="0.25">
      <c r="A127" s="272"/>
      <c r="B127" s="58" t="s">
        <v>866</v>
      </c>
      <c r="C127" s="124">
        <f t="shared" si="30"/>
        <v>523.20000000000005</v>
      </c>
      <c r="D127" s="125"/>
      <c r="E127" s="125"/>
      <c r="F127" s="422">
        <v>523.20000000000005</v>
      </c>
      <c r="G127" s="125"/>
      <c r="H127" s="125"/>
      <c r="I127" s="124">
        <f t="shared" si="27"/>
        <v>413.05</v>
      </c>
      <c r="J127" s="125"/>
      <c r="K127" s="125"/>
      <c r="L127" s="444">
        <v>413.05</v>
      </c>
      <c r="M127" s="125"/>
      <c r="N127" s="125"/>
      <c r="O127" s="124">
        <f t="shared" si="28"/>
        <v>413.05</v>
      </c>
      <c r="P127" s="125"/>
      <c r="Q127" s="125"/>
      <c r="R127" s="125">
        <v>413.05</v>
      </c>
      <c r="S127" s="125"/>
      <c r="T127" s="125"/>
      <c r="U127" s="8">
        <v>323.39999999999998</v>
      </c>
    </row>
    <row r="128" spans="1:209" s="8" customFormat="1" ht="47.25" x14ac:dyDescent="0.25">
      <c r="A128" s="272"/>
      <c r="B128" s="312" t="s">
        <v>867</v>
      </c>
      <c r="C128" s="124">
        <f t="shared" si="30"/>
        <v>204.79</v>
      </c>
      <c r="D128" s="125"/>
      <c r="E128" s="125"/>
      <c r="F128" s="422">
        <v>204.79</v>
      </c>
      <c r="G128" s="125"/>
      <c r="H128" s="125"/>
      <c r="I128" s="124">
        <f t="shared" si="27"/>
        <v>428.7</v>
      </c>
      <c r="J128" s="125"/>
      <c r="K128" s="125"/>
      <c r="L128" s="125">
        <v>428.7</v>
      </c>
      <c r="M128" s="420"/>
      <c r="N128" s="420"/>
      <c r="O128" s="124">
        <f t="shared" si="28"/>
        <v>428.7</v>
      </c>
      <c r="P128" s="420"/>
      <c r="Q128" s="420"/>
      <c r="R128" s="125">
        <v>428.7</v>
      </c>
      <c r="S128" s="125"/>
      <c r="T128" s="125"/>
      <c r="U128" s="8">
        <v>374.22</v>
      </c>
    </row>
    <row r="129" spans="1:209" s="8" customFormat="1" x14ac:dyDescent="0.25">
      <c r="A129" s="272"/>
      <c r="B129" s="339" t="s">
        <v>475</v>
      </c>
      <c r="C129" s="124">
        <f t="shared" si="30"/>
        <v>2583.1999999999998</v>
      </c>
      <c r="D129" s="125"/>
      <c r="E129" s="125"/>
      <c r="F129" s="420">
        <f>SUM(F130:F132)</f>
        <v>2583.1999999999998</v>
      </c>
      <c r="G129" s="125"/>
      <c r="H129" s="125"/>
      <c r="I129" s="124">
        <f t="shared" si="27"/>
        <v>2329.4499999999998</v>
      </c>
      <c r="J129" s="125"/>
      <c r="K129" s="125"/>
      <c r="L129" s="437">
        <f>SUM(L130:L132)</f>
        <v>2329.4499999999998</v>
      </c>
      <c r="M129" s="125"/>
      <c r="N129" s="125"/>
      <c r="O129" s="124">
        <f t="shared" si="28"/>
        <v>2329.4499999999998</v>
      </c>
      <c r="P129" s="125"/>
      <c r="Q129" s="125"/>
      <c r="R129" s="437">
        <f>SUM(R130:R132)</f>
        <v>2329.4499999999998</v>
      </c>
      <c r="S129" s="125"/>
      <c r="T129" s="125"/>
      <c r="U129" s="437">
        <f>SUM(U130:U132)</f>
        <v>2275.9700000000003</v>
      </c>
    </row>
    <row r="130" spans="1:209" s="8" customFormat="1" ht="31.5" x14ac:dyDescent="0.25">
      <c r="A130" s="272"/>
      <c r="B130" s="324" t="s">
        <v>476</v>
      </c>
      <c r="C130" s="124">
        <f t="shared" si="30"/>
        <v>141.08000000000001</v>
      </c>
      <c r="D130" s="125"/>
      <c r="E130" s="125"/>
      <c r="F130" s="422">
        <v>141.08000000000001</v>
      </c>
      <c r="G130" s="125"/>
      <c r="H130" s="125"/>
      <c r="I130" s="124">
        <f t="shared" si="27"/>
        <v>467.35</v>
      </c>
      <c r="J130" s="125"/>
      <c r="K130" s="125"/>
      <c r="L130" s="125">
        <v>467.35</v>
      </c>
      <c r="M130" s="125"/>
      <c r="N130" s="125"/>
      <c r="O130" s="124">
        <f t="shared" si="28"/>
        <v>467.35</v>
      </c>
      <c r="P130" s="125"/>
      <c r="Q130" s="125"/>
      <c r="R130" s="125">
        <v>467.35</v>
      </c>
      <c r="S130" s="125"/>
      <c r="T130" s="125"/>
      <c r="U130" s="8">
        <v>188.24</v>
      </c>
    </row>
    <row r="131" spans="1:209" s="8" customFormat="1" ht="47.25" x14ac:dyDescent="0.25">
      <c r="A131" s="272"/>
      <c r="B131" s="312" t="s">
        <v>474</v>
      </c>
      <c r="C131" s="124">
        <f t="shared" si="30"/>
        <v>394.58</v>
      </c>
      <c r="D131" s="125"/>
      <c r="E131" s="125"/>
      <c r="F131" s="422">
        <v>394.58</v>
      </c>
      <c r="G131" s="125"/>
      <c r="H131" s="125"/>
      <c r="I131" s="124">
        <f t="shared" si="27"/>
        <v>670.44</v>
      </c>
      <c r="J131" s="125"/>
      <c r="K131" s="125"/>
      <c r="L131" s="125">
        <v>670.44</v>
      </c>
      <c r="M131" s="420"/>
      <c r="N131" s="420"/>
      <c r="O131" s="124">
        <f t="shared" si="28"/>
        <v>670.44</v>
      </c>
      <c r="P131" s="420"/>
      <c r="Q131" s="420"/>
      <c r="R131" s="125">
        <v>670.44</v>
      </c>
      <c r="S131" s="125"/>
      <c r="T131" s="125"/>
      <c r="U131" s="8">
        <v>531.47</v>
      </c>
    </row>
    <row r="132" spans="1:209" s="8" customFormat="1" ht="47.25" x14ac:dyDescent="0.25">
      <c r="A132" s="272"/>
      <c r="B132" s="324" t="s">
        <v>477</v>
      </c>
      <c r="C132" s="124">
        <f t="shared" si="30"/>
        <v>2047.54</v>
      </c>
      <c r="D132" s="407"/>
      <c r="E132" s="407"/>
      <c r="F132" s="422">
        <v>2047.54</v>
      </c>
      <c r="G132" s="125"/>
      <c r="H132" s="125"/>
      <c r="I132" s="124">
        <f t="shared" si="27"/>
        <v>1191.6600000000001</v>
      </c>
      <c r="J132" s="125"/>
      <c r="K132" s="125"/>
      <c r="L132" s="125">
        <v>1191.6600000000001</v>
      </c>
      <c r="M132" s="125"/>
      <c r="N132" s="125"/>
      <c r="O132" s="124">
        <f t="shared" si="28"/>
        <v>1191.6600000000001</v>
      </c>
      <c r="P132" s="125"/>
      <c r="Q132" s="125"/>
      <c r="R132" s="125">
        <v>1191.6600000000001</v>
      </c>
      <c r="S132" s="125"/>
      <c r="T132" s="125"/>
      <c r="U132" s="8">
        <v>1556.26</v>
      </c>
    </row>
    <row r="133" spans="1:209" s="8" customFormat="1" ht="31.5" x14ac:dyDescent="0.25">
      <c r="A133" s="272"/>
      <c r="B133" s="339" t="s">
        <v>478</v>
      </c>
      <c r="C133" s="124">
        <f t="shared" si="30"/>
        <v>98.8</v>
      </c>
      <c r="D133" s="407"/>
      <c r="E133" s="407"/>
      <c r="F133" s="420">
        <f>SUM(F134:F134)</f>
        <v>98.8</v>
      </c>
      <c r="G133" s="125"/>
      <c r="H133" s="125"/>
      <c r="I133" s="124">
        <f t="shared" si="27"/>
        <v>98.8</v>
      </c>
      <c r="J133" s="125"/>
      <c r="K133" s="125"/>
      <c r="L133" s="420">
        <f>L134</f>
        <v>98.8</v>
      </c>
      <c r="M133" s="125"/>
      <c r="N133" s="125"/>
      <c r="O133" s="124">
        <f t="shared" si="28"/>
        <v>98.8</v>
      </c>
      <c r="P133" s="125"/>
      <c r="Q133" s="125"/>
      <c r="R133" s="420">
        <f>R134</f>
        <v>98.8</v>
      </c>
      <c r="S133" s="125"/>
      <c r="T133" s="125"/>
      <c r="U133" s="420">
        <f>U134</f>
        <v>93.12</v>
      </c>
    </row>
    <row r="134" spans="1:209" s="8" customFormat="1" ht="78.75" x14ac:dyDescent="0.25">
      <c r="A134" s="272"/>
      <c r="B134" s="324" t="s">
        <v>864</v>
      </c>
      <c r="C134" s="124">
        <f t="shared" si="30"/>
        <v>98.8</v>
      </c>
      <c r="D134" s="407"/>
      <c r="E134" s="407"/>
      <c r="F134" s="422">
        <v>98.8</v>
      </c>
      <c r="G134" s="125"/>
      <c r="H134" s="125"/>
      <c r="I134" s="124">
        <f t="shared" si="27"/>
        <v>98.8</v>
      </c>
      <c r="J134" s="125"/>
      <c r="K134" s="125"/>
      <c r="L134" s="422">
        <v>98.8</v>
      </c>
      <c r="M134" s="125"/>
      <c r="N134" s="125"/>
      <c r="O134" s="124">
        <f t="shared" si="28"/>
        <v>98.8</v>
      </c>
      <c r="P134" s="125"/>
      <c r="Q134" s="125"/>
      <c r="R134" s="422">
        <v>98.8</v>
      </c>
      <c r="S134" s="125"/>
      <c r="T134" s="125"/>
      <c r="U134" s="8">
        <v>93.12</v>
      </c>
    </row>
    <row r="135" spans="1:209" s="8" customFormat="1" x14ac:dyDescent="0.25">
      <c r="A135" s="272"/>
      <c r="B135" s="339" t="s">
        <v>479</v>
      </c>
      <c r="C135" s="124">
        <f>SUM(D135:H135)</f>
        <v>1060</v>
      </c>
      <c r="D135" s="407"/>
      <c r="E135" s="407"/>
      <c r="F135" s="437">
        <f>SUM(F136:F137)</f>
        <v>1060</v>
      </c>
      <c r="G135" s="125"/>
      <c r="H135" s="125"/>
      <c r="I135" s="124">
        <f t="shared" si="27"/>
        <v>1200</v>
      </c>
      <c r="J135" s="125"/>
      <c r="K135" s="125"/>
      <c r="L135" s="437">
        <f>SUM(L136:L137)</f>
        <v>1200</v>
      </c>
      <c r="M135" s="125"/>
      <c r="N135" s="125"/>
      <c r="O135" s="124">
        <f t="shared" si="28"/>
        <v>1200</v>
      </c>
      <c r="P135" s="125"/>
      <c r="Q135" s="125"/>
      <c r="R135" s="437">
        <f>SUM(R136:R137)</f>
        <v>1200</v>
      </c>
      <c r="S135" s="125"/>
      <c r="T135" s="125"/>
      <c r="U135" s="8">
        <v>1125</v>
      </c>
    </row>
    <row r="136" spans="1:209" s="8" customFormat="1" ht="47.25" x14ac:dyDescent="0.25">
      <c r="A136" s="272"/>
      <c r="B136" s="324" t="s">
        <v>480</v>
      </c>
      <c r="C136" s="124">
        <f>SUM(D136:H136)</f>
        <v>760</v>
      </c>
      <c r="D136" s="407"/>
      <c r="E136" s="407"/>
      <c r="F136" s="422">
        <v>760</v>
      </c>
      <c r="G136" s="125"/>
      <c r="H136" s="125"/>
      <c r="I136" s="124">
        <f t="shared" si="27"/>
        <v>900</v>
      </c>
      <c r="J136" s="125"/>
      <c r="K136" s="125"/>
      <c r="L136" s="125">
        <v>900</v>
      </c>
      <c r="M136" s="125"/>
      <c r="N136" s="125"/>
      <c r="O136" s="124">
        <f t="shared" si="28"/>
        <v>900</v>
      </c>
      <c r="P136" s="125"/>
      <c r="Q136" s="125"/>
      <c r="R136" s="125">
        <v>900</v>
      </c>
      <c r="S136" s="125"/>
      <c r="T136" s="125"/>
    </row>
    <row r="137" spans="1:209" s="8" customFormat="1" ht="31.5" x14ac:dyDescent="0.25">
      <c r="A137" s="272"/>
      <c r="B137" s="324" t="s">
        <v>481</v>
      </c>
      <c r="C137" s="124">
        <f>SUM(D137:H137)</f>
        <v>300</v>
      </c>
      <c r="D137" s="407"/>
      <c r="E137" s="407"/>
      <c r="F137" s="422">
        <v>300</v>
      </c>
      <c r="G137" s="125"/>
      <c r="H137" s="125"/>
      <c r="I137" s="124">
        <f t="shared" si="27"/>
        <v>300</v>
      </c>
      <c r="J137" s="125"/>
      <c r="K137" s="125"/>
      <c r="L137" s="125">
        <v>300</v>
      </c>
      <c r="M137" s="125"/>
      <c r="N137" s="125"/>
      <c r="O137" s="124">
        <f t="shared" si="28"/>
        <v>300</v>
      </c>
      <c r="P137" s="125"/>
      <c r="Q137" s="125"/>
      <c r="R137" s="125">
        <v>300</v>
      </c>
      <c r="S137" s="125"/>
      <c r="T137" s="125"/>
    </row>
    <row r="138" spans="1:209" s="283" customFormat="1" ht="47.25" x14ac:dyDescent="0.3">
      <c r="A138" s="551">
        <v>13</v>
      </c>
      <c r="B138" s="79" t="s">
        <v>1184</v>
      </c>
      <c r="C138" s="149">
        <f>SUM(D138:H138)</f>
        <v>1345.85</v>
      </c>
      <c r="D138" s="150">
        <v>0</v>
      </c>
      <c r="E138" s="127">
        <v>0</v>
      </c>
      <c r="F138" s="127">
        <f>F139+F150+F153</f>
        <v>1345.85</v>
      </c>
      <c r="G138" s="149">
        <v>0</v>
      </c>
      <c r="H138" s="149">
        <v>0</v>
      </c>
      <c r="I138" s="149">
        <f>SUM(J138:N138)</f>
        <v>1511.7710199999999</v>
      </c>
      <c r="J138" s="150">
        <v>0</v>
      </c>
      <c r="K138" s="127">
        <v>0</v>
      </c>
      <c r="L138" s="127">
        <f>L139+L150+L153</f>
        <v>1511.7710199999999</v>
      </c>
      <c r="M138" s="149">
        <v>0</v>
      </c>
      <c r="N138" s="127">
        <v>0</v>
      </c>
      <c r="O138" s="149">
        <f>SUM(P138:T138)</f>
        <v>1510.07</v>
      </c>
      <c r="P138" s="150">
        <v>0</v>
      </c>
      <c r="Q138" s="127">
        <v>0</v>
      </c>
      <c r="R138" s="127">
        <f>R139+R150+R153</f>
        <v>1510.07</v>
      </c>
      <c r="S138" s="149">
        <v>0</v>
      </c>
      <c r="T138" s="149">
        <v>0</v>
      </c>
      <c r="U138" s="127">
        <f>U139+U150+U153</f>
        <v>1378.38</v>
      </c>
      <c r="V138" s="735">
        <f>O138/I138*100</f>
        <v>99.88748163726541</v>
      </c>
      <c r="W138" s="734"/>
      <c r="X138" s="739"/>
      <c r="Y138" s="736"/>
      <c r="Z138" s="736"/>
      <c r="AA138" s="734"/>
      <c r="AB138" s="734"/>
      <c r="AC138" s="734"/>
      <c r="AD138" s="734"/>
      <c r="AE138" s="734"/>
      <c r="AF138" s="734"/>
      <c r="AG138" s="734"/>
      <c r="AH138" s="734"/>
      <c r="AI138" s="734"/>
      <c r="AJ138" s="734"/>
      <c r="AK138" s="734"/>
      <c r="AL138" s="734"/>
      <c r="AM138" s="734"/>
      <c r="AN138" s="734"/>
      <c r="AO138" s="734"/>
      <c r="AP138" s="734"/>
      <c r="AQ138" s="734"/>
      <c r="AR138" s="734"/>
      <c r="AS138" s="734"/>
      <c r="AT138" s="734"/>
      <c r="AU138" s="734"/>
      <c r="AV138" s="734"/>
      <c r="AW138" s="734"/>
      <c r="AX138" s="734"/>
      <c r="AY138" s="734"/>
      <c r="AZ138" s="734"/>
      <c r="BA138" s="734"/>
      <c r="BB138" s="734"/>
      <c r="BC138" s="734"/>
      <c r="BD138" s="734"/>
      <c r="BE138" s="734"/>
      <c r="BF138" s="734"/>
      <c r="BG138" s="734"/>
      <c r="BH138" s="734"/>
      <c r="BI138" s="734"/>
      <c r="BJ138" s="734"/>
      <c r="BK138" s="734"/>
      <c r="BL138" s="734"/>
      <c r="BM138" s="734"/>
      <c r="BN138" s="734"/>
      <c r="BO138" s="734"/>
      <c r="BP138" s="734"/>
      <c r="BQ138" s="734"/>
      <c r="BR138" s="734"/>
      <c r="BS138" s="734"/>
      <c r="BT138" s="734"/>
      <c r="BU138" s="734"/>
      <c r="BV138" s="734"/>
      <c r="BW138" s="734"/>
      <c r="BX138" s="734"/>
      <c r="BY138" s="734"/>
      <c r="BZ138" s="734"/>
      <c r="CA138" s="734"/>
      <c r="CB138" s="734"/>
      <c r="CC138" s="734"/>
      <c r="CD138" s="734"/>
      <c r="CE138" s="734"/>
      <c r="CF138" s="734"/>
      <c r="CG138" s="734"/>
      <c r="CH138" s="734"/>
      <c r="CI138" s="734"/>
      <c r="CJ138" s="734"/>
      <c r="CK138" s="734"/>
      <c r="CL138" s="734"/>
      <c r="CM138" s="734"/>
      <c r="CN138" s="734"/>
      <c r="CO138" s="734"/>
      <c r="CP138" s="734"/>
      <c r="CQ138" s="734"/>
      <c r="CR138" s="734"/>
      <c r="CS138" s="734"/>
      <c r="CT138" s="734"/>
      <c r="CU138" s="734"/>
      <c r="CV138" s="734"/>
      <c r="CW138" s="734"/>
      <c r="CX138" s="734"/>
      <c r="CY138" s="734"/>
      <c r="CZ138" s="734"/>
      <c r="DA138" s="734"/>
      <c r="DB138" s="734"/>
      <c r="DC138" s="734"/>
      <c r="DD138" s="734"/>
      <c r="DE138" s="734"/>
      <c r="DF138" s="734"/>
      <c r="DG138" s="734"/>
      <c r="DH138" s="734"/>
      <c r="DI138" s="734"/>
      <c r="DJ138" s="734"/>
      <c r="DK138" s="734"/>
      <c r="DL138" s="734"/>
      <c r="DM138" s="734"/>
      <c r="DN138" s="734"/>
      <c r="DO138" s="734"/>
      <c r="DP138" s="734"/>
      <c r="DQ138" s="734"/>
      <c r="DR138" s="734"/>
      <c r="DS138" s="734"/>
      <c r="DT138" s="734"/>
      <c r="DU138" s="734"/>
      <c r="DV138" s="734"/>
      <c r="DW138" s="734"/>
      <c r="DX138" s="734"/>
      <c r="DY138" s="734"/>
      <c r="DZ138" s="734"/>
      <c r="EA138" s="734"/>
      <c r="EB138" s="734"/>
      <c r="EC138" s="734"/>
      <c r="ED138" s="734"/>
      <c r="EE138" s="734"/>
      <c r="EF138" s="734"/>
      <c r="EG138" s="734"/>
      <c r="EH138" s="734"/>
      <c r="EI138" s="734"/>
      <c r="EJ138" s="734"/>
      <c r="EK138" s="734"/>
      <c r="EL138" s="734"/>
      <c r="EM138" s="734"/>
      <c r="EN138" s="734"/>
      <c r="EO138" s="734"/>
      <c r="EP138" s="734"/>
      <c r="EQ138" s="734"/>
      <c r="ER138" s="734"/>
      <c r="ES138" s="734"/>
      <c r="ET138" s="734"/>
      <c r="EU138" s="734"/>
      <c r="EV138" s="734"/>
      <c r="EW138" s="734"/>
      <c r="EX138" s="734"/>
      <c r="EY138" s="734"/>
      <c r="EZ138" s="734"/>
      <c r="FA138" s="734"/>
      <c r="FB138" s="734"/>
      <c r="FC138" s="734"/>
      <c r="FD138" s="734"/>
      <c r="FE138" s="734"/>
      <c r="FF138" s="734"/>
      <c r="FG138" s="734"/>
      <c r="FH138" s="734"/>
      <c r="FI138" s="734"/>
      <c r="FJ138" s="734"/>
      <c r="FK138" s="734"/>
      <c r="FL138" s="734"/>
      <c r="FM138" s="734"/>
      <c r="FN138" s="734"/>
      <c r="FO138" s="734"/>
      <c r="FP138" s="734"/>
      <c r="FQ138" s="734"/>
      <c r="FR138" s="734"/>
      <c r="FS138" s="734"/>
      <c r="FT138" s="734"/>
      <c r="FU138" s="734"/>
      <c r="FV138" s="734"/>
      <c r="FW138" s="734"/>
      <c r="FX138" s="734"/>
      <c r="FY138" s="734"/>
      <c r="FZ138" s="734"/>
      <c r="GA138" s="734"/>
      <c r="GB138" s="734"/>
      <c r="GC138" s="734"/>
      <c r="GD138" s="734"/>
      <c r="GE138" s="734"/>
      <c r="GF138" s="734"/>
      <c r="GG138" s="734"/>
      <c r="GH138" s="734"/>
      <c r="GI138" s="734"/>
      <c r="GJ138" s="734"/>
      <c r="GK138" s="734"/>
      <c r="GL138" s="734"/>
      <c r="GM138" s="734"/>
      <c r="GN138" s="734"/>
      <c r="GO138" s="734"/>
      <c r="GP138" s="734"/>
      <c r="GQ138" s="734"/>
      <c r="GR138" s="734"/>
      <c r="GS138" s="734"/>
      <c r="GT138" s="734"/>
      <c r="GU138" s="734"/>
      <c r="GV138" s="734"/>
      <c r="GW138" s="734"/>
      <c r="GX138" s="734"/>
      <c r="GY138" s="734"/>
      <c r="GZ138" s="734"/>
      <c r="HA138" s="734"/>
    </row>
    <row r="139" spans="1:209" s="8" customFormat="1" ht="31.5" x14ac:dyDescent="0.25">
      <c r="A139" s="272"/>
      <c r="B139" s="330" t="s">
        <v>790</v>
      </c>
      <c r="C139" s="124"/>
      <c r="D139" s="125"/>
      <c r="E139" s="125"/>
      <c r="F139" s="438">
        <f>F140+F143+F146+F148</f>
        <v>180</v>
      </c>
      <c r="G139" s="408"/>
      <c r="H139" s="125"/>
      <c r="I139" s="124"/>
      <c r="J139" s="125"/>
      <c r="K139" s="125"/>
      <c r="L139" s="438">
        <f>L140+L143+L146+L148</f>
        <v>106.4</v>
      </c>
      <c r="M139" s="125"/>
      <c r="N139" s="125"/>
      <c r="O139" s="124"/>
      <c r="P139" s="125"/>
      <c r="Q139" s="125"/>
      <c r="R139" s="438">
        <f>R140+R143+R146+R148</f>
        <v>105.6</v>
      </c>
      <c r="S139" s="125"/>
      <c r="T139" s="125"/>
      <c r="U139" s="438">
        <f>U140+U143+U146+U148</f>
        <v>81.41</v>
      </c>
    </row>
    <row r="140" spans="1:209" s="305" customFormat="1" ht="31.5" hidden="1" x14ac:dyDescent="0.25">
      <c r="A140" s="298"/>
      <c r="B140" s="311" t="s">
        <v>483</v>
      </c>
      <c r="C140" s="425">
        <f t="shared" ref="C140:C147" si="31">SUM(D140:H140)</f>
        <v>20</v>
      </c>
      <c r="D140" s="424"/>
      <c r="E140" s="424"/>
      <c r="F140" s="440">
        <f>SUM(F141:F142)</f>
        <v>20</v>
      </c>
      <c r="G140" s="426"/>
      <c r="H140" s="424"/>
      <c r="I140" s="425">
        <f>SUM(J140:N140)</f>
        <v>0</v>
      </c>
      <c r="J140" s="424"/>
      <c r="K140" s="424"/>
      <c r="L140" s="440">
        <f>SUM(L141:L142)</f>
        <v>0</v>
      </c>
      <c r="M140" s="424"/>
      <c r="N140" s="424"/>
      <c r="O140" s="425">
        <f>SUM(P140:T140)</f>
        <v>0</v>
      </c>
      <c r="P140" s="424"/>
      <c r="Q140" s="424"/>
      <c r="R140" s="440">
        <f>SUM(R141:R142)</f>
        <v>0</v>
      </c>
      <c r="S140" s="424"/>
      <c r="T140" s="424"/>
    </row>
    <row r="141" spans="1:209" s="8" customFormat="1" ht="47.25" hidden="1" x14ac:dyDescent="0.25">
      <c r="A141" s="272"/>
      <c r="B141" s="331" t="s">
        <v>711</v>
      </c>
      <c r="C141" s="124">
        <f t="shared" si="31"/>
        <v>10</v>
      </c>
      <c r="D141" s="125"/>
      <c r="E141" s="125"/>
      <c r="F141" s="414">
        <v>10</v>
      </c>
      <c r="G141" s="408"/>
      <c r="H141" s="125"/>
      <c r="I141" s="124"/>
      <c r="J141" s="125"/>
      <c r="K141" s="125"/>
      <c r="L141" s="438"/>
      <c r="M141" s="125"/>
      <c r="N141" s="125"/>
      <c r="O141" s="124"/>
      <c r="P141" s="125"/>
      <c r="Q141" s="125"/>
      <c r="R141" s="438"/>
      <c r="S141" s="125"/>
      <c r="T141" s="125"/>
    </row>
    <row r="142" spans="1:209" s="8" customFormat="1" ht="31.5" hidden="1" x14ac:dyDescent="0.25">
      <c r="A142" s="272"/>
      <c r="B142" s="332" t="s">
        <v>484</v>
      </c>
      <c r="C142" s="124">
        <f t="shared" si="31"/>
        <v>10</v>
      </c>
      <c r="D142" s="420"/>
      <c r="E142" s="125"/>
      <c r="F142" s="408">
        <v>10</v>
      </c>
      <c r="G142" s="407"/>
      <c r="H142" s="420"/>
      <c r="I142" s="124">
        <f t="shared" ref="I142:I147" si="32">SUM(J142:N142)</f>
        <v>0</v>
      </c>
      <c r="J142" s="125"/>
      <c r="K142" s="125"/>
      <c r="L142" s="125"/>
      <c r="M142" s="125"/>
      <c r="N142" s="125"/>
      <c r="O142" s="124">
        <f t="shared" ref="O142:O147" si="33">SUM(P142:T142)</f>
        <v>0</v>
      </c>
      <c r="P142" s="125"/>
      <c r="Q142" s="125"/>
      <c r="R142" s="125"/>
      <c r="S142" s="125"/>
      <c r="T142" s="125"/>
    </row>
    <row r="143" spans="1:209" s="305" customFormat="1" x14ac:dyDescent="0.25">
      <c r="A143" s="298"/>
      <c r="B143" s="311" t="s">
        <v>791</v>
      </c>
      <c r="C143" s="428">
        <f t="shared" si="31"/>
        <v>105</v>
      </c>
      <c r="D143" s="430"/>
      <c r="E143" s="424"/>
      <c r="F143" s="426">
        <f>SUM(F144:F145)</f>
        <v>105</v>
      </c>
      <c r="G143" s="432"/>
      <c r="H143" s="430"/>
      <c r="I143" s="428">
        <f t="shared" si="32"/>
        <v>101.4</v>
      </c>
      <c r="J143" s="424"/>
      <c r="K143" s="424"/>
      <c r="L143" s="424">
        <f>SUM(L144:L145)</f>
        <v>101.4</v>
      </c>
      <c r="M143" s="424"/>
      <c r="N143" s="424"/>
      <c r="O143" s="428">
        <f t="shared" si="33"/>
        <v>100.6</v>
      </c>
      <c r="P143" s="424"/>
      <c r="Q143" s="424"/>
      <c r="R143" s="424">
        <f>SUM(R144:R145)</f>
        <v>100.6</v>
      </c>
      <c r="S143" s="424"/>
      <c r="T143" s="424"/>
      <c r="U143" s="424">
        <f>SUM(U144:U145)</f>
        <v>76.41</v>
      </c>
    </row>
    <row r="144" spans="1:209" s="8" customFormat="1" ht="47.25" x14ac:dyDescent="0.25">
      <c r="A144" s="272"/>
      <c r="B144" s="332" t="s">
        <v>485</v>
      </c>
      <c r="C144" s="124">
        <f t="shared" si="31"/>
        <v>80</v>
      </c>
      <c r="D144" s="420"/>
      <c r="E144" s="125"/>
      <c r="F144" s="408">
        <v>80</v>
      </c>
      <c r="G144" s="407"/>
      <c r="H144" s="420"/>
      <c r="I144" s="124">
        <f t="shared" si="32"/>
        <v>76.400000000000006</v>
      </c>
      <c r="J144" s="125"/>
      <c r="K144" s="125"/>
      <c r="L144" s="125">
        <v>76.400000000000006</v>
      </c>
      <c r="M144" s="125"/>
      <c r="N144" s="125"/>
      <c r="O144" s="124">
        <f t="shared" si="33"/>
        <v>75.599999999999994</v>
      </c>
      <c r="P144" s="125"/>
      <c r="Q144" s="125"/>
      <c r="R144" s="125">
        <v>75.599999999999994</v>
      </c>
      <c r="S144" s="125"/>
      <c r="T144" s="125"/>
      <c r="U144" s="8">
        <f>51.6+24.81</f>
        <v>76.41</v>
      </c>
    </row>
    <row r="145" spans="1:209" s="8" customFormat="1" ht="47.25" x14ac:dyDescent="0.25">
      <c r="A145" s="272"/>
      <c r="B145" s="332" t="s">
        <v>486</v>
      </c>
      <c r="C145" s="124">
        <f t="shared" si="31"/>
        <v>25</v>
      </c>
      <c r="D145" s="420"/>
      <c r="E145" s="125"/>
      <c r="F145" s="408">
        <v>25</v>
      </c>
      <c r="G145" s="407"/>
      <c r="H145" s="420"/>
      <c r="I145" s="124">
        <f t="shared" si="32"/>
        <v>25</v>
      </c>
      <c r="J145" s="125"/>
      <c r="K145" s="125"/>
      <c r="L145" s="125">
        <v>25</v>
      </c>
      <c r="M145" s="125"/>
      <c r="N145" s="125"/>
      <c r="O145" s="124">
        <f t="shared" si="33"/>
        <v>25</v>
      </c>
      <c r="P145" s="125"/>
      <c r="Q145" s="125"/>
      <c r="R145" s="125">
        <v>25</v>
      </c>
      <c r="S145" s="125"/>
      <c r="T145" s="125"/>
    </row>
    <row r="146" spans="1:209" s="305" customFormat="1" x14ac:dyDescent="0.25">
      <c r="A146" s="298"/>
      <c r="B146" s="304" t="s">
        <v>487</v>
      </c>
      <c r="C146" s="428">
        <f t="shared" si="31"/>
        <v>5</v>
      </c>
      <c r="D146" s="424"/>
      <c r="E146" s="424"/>
      <c r="F146" s="440">
        <f>F147</f>
        <v>5</v>
      </c>
      <c r="G146" s="432"/>
      <c r="H146" s="430"/>
      <c r="I146" s="428">
        <f t="shared" si="32"/>
        <v>5</v>
      </c>
      <c r="J146" s="424"/>
      <c r="K146" s="424"/>
      <c r="L146" s="440">
        <f>L147</f>
        <v>5</v>
      </c>
      <c r="M146" s="424"/>
      <c r="N146" s="424"/>
      <c r="O146" s="428">
        <f t="shared" si="33"/>
        <v>5</v>
      </c>
      <c r="P146" s="424"/>
      <c r="Q146" s="424"/>
      <c r="R146" s="440">
        <f>R147</f>
        <v>5</v>
      </c>
      <c r="S146" s="424"/>
      <c r="T146" s="424"/>
      <c r="U146" s="440">
        <f>U147</f>
        <v>5</v>
      </c>
    </row>
    <row r="147" spans="1:209" s="8" customFormat="1" ht="47.25" x14ac:dyDescent="0.25">
      <c r="A147" s="272"/>
      <c r="B147" s="331" t="s">
        <v>488</v>
      </c>
      <c r="C147" s="124">
        <f t="shared" si="31"/>
        <v>5</v>
      </c>
      <c r="D147" s="125"/>
      <c r="E147" s="125"/>
      <c r="F147" s="414">
        <v>5</v>
      </c>
      <c r="G147" s="407"/>
      <c r="H147" s="420"/>
      <c r="I147" s="124">
        <f t="shared" si="32"/>
        <v>5</v>
      </c>
      <c r="J147" s="125"/>
      <c r="K147" s="125"/>
      <c r="L147" s="414">
        <v>5</v>
      </c>
      <c r="M147" s="125"/>
      <c r="N147" s="125"/>
      <c r="O147" s="124">
        <f t="shared" si="33"/>
        <v>5</v>
      </c>
      <c r="P147" s="125"/>
      <c r="Q147" s="125"/>
      <c r="R147" s="414">
        <v>5</v>
      </c>
      <c r="S147" s="125"/>
      <c r="T147" s="125"/>
      <c r="U147" s="8">
        <v>5</v>
      </c>
    </row>
    <row r="148" spans="1:209" s="305" customFormat="1" ht="47.25" hidden="1" x14ac:dyDescent="0.25">
      <c r="A148" s="298"/>
      <c r="B148" s="311" t="s">
        <v>792</v>
      </c>
      <c r="C148" s="428">
        <f t="shared" ref="C148:C156" si="34">SUM(D148:H148)</f>
        <v>50</v>
      </c>
      <c r="D148" s="424"/>
      <c r="E148" s="424"/>
      <c r="F148" s="445">
        <f>F149</f>
        <v>50</v>
      </c>
      <c r="G148" s="424"/>
      <c r="H148" s="424"/>
      <c r="I148" s="428">
        <f t="shared" ref="I148:I156" si="35">SUM(J148:N148)</f>
        <v>0</v>
      </c>
      <c r="J148" s="424"/>
      <c r="K148" s="424"/>
      <c r="L148" s="445">
        <f>L149</f>
        <v>0</v>
      </c>
      <c r="M148" s="424"/>
      <c r="N148" s="424"/>
      <c r="O148" s="428">
        <f t="shared" ref="O148:O156" si="36">SUM(P148:T148)</f>
        <v>0</v>
      </c>
      <c r="P148" s="424"/>
      <c r="Q148" s="424"/>
      <c r="R148" s="445"/>
      <c r="S148" s="424"/>
      <c r="T148" s="424"/>
    </row>
    <row r="149" spans="1:209" s="8" customFormat="1" ht="37.5" hidden="1" customHeight="1" x14ac:dyDescent="0.25">
      <c r="A149" s="272"/>
      <c r="B149" s="331" t="s">
        <v>482</v>
      </c>
      <c r="C149" s="124">
        <f t="shared" si="34"/>
        <v>50</v>
      </c>
      <c r="D149" s="125"/>
      <c r="E149" s="125"/>
      <c r="F149" s="408">
        <v>50</v>
      </c>
      <c r="G149" s="408"/>
      <c r="H149" s="125"/>
      <c r="I149" s="124">
        <f t="shared" si="35"/>
        <v>0</v>
      </c>
      <c r="J149" s="125"/>
      <c r="K149" s="125"/>
      <c r="L149" s="125"/>
      <c r="M149" s="125"/>
      <c r="N149" s="125"/>
      <c r="O149" s="124">
        <f t="shared" si="36"/>
        <v>0</v>
      </c>
      <c r="P149" s="125"/>
      <c r="Q149" s="125"/>
      <c r="R149" s="125"/>
      <c r="S149" s="125"/>
      <c r="T149" s="125"/>
    </row>
    <row r="150" spans="1:209" s="8" customFormat="1" ht="31.5" x14ac:dyDescent="0.25">
      <c r="A150" s="272"/>
      <c r="B150" s="330" t="s">
        <v>309</v>
      </c>
      <c r="C150" s="124">
        <f t="shared" si="34"/>
        <v>150</v>
      </c>
      <c r="D150" s="125"/>
      <c r="E150" s="125"/>
      <c r="F150" s="438">
        <f>F151+F152</f>
        <v>150</v>
      </c>
      <c r="G150" s="407"/>
      <c r="H150" s="420"/>
      <c r="I150" s="124">
        <f t="shared" si="35"/>
        <v>108.4</v>
      </c>
      <c r="J150" s="125"/>
      <c r="K150" s="125"/>
      <c r="L150" s="438">
        <f>L151+L152</f>
        <v>108.4</v>
      </c>
      <c r="M150" s="125"/>
      <c r="N150" s="420"/>
      <c r="O150" s="124">
        <f t="shared" si="36"/>
        <v>107.5</v>
      </c>
      <c r="P150" s="125"/>
      <c r="Q150" s="125"/>
      <c r="R150" s="438">
        <f>R151+R152</f>
        <v>107.5</v>
      </c>
      <c r="S150" s="125"/>
      <c r="T150" s="125"/>
    </row>
    <row r="151" spans="1:209" s="8" customFormat="1" ht="78.75" x14ac:dyDescent="0.25">
      <c r="A151" s="272"/>
      <c r="B151" s="334" t="s">
        <v>489</v>
      </c>
      <c r="C151" s="124">
        <f t="shared" si="34"/>
        <v>100</v>
      </c>
      <c r="D151" s="125"/>
      <c r="E151" s="125"/>
      <c r="F151" s="408">
        <v>100</v>
      </c>
      <c r="G151" s="408"/>
      <c r="H151" s="125"/>
      <c r="I151" s="124">
        <f t="shared" si="35"/>
        <v>100</v>
      </c>
      <c r="J151" s="125"/>
      <c r="K151" s="125"/>
      <c r="L151" s="414">
        <v>100</v>
      </c>
      <c r="M151" s="125"/>
      <c r="N151" s="125"/>
      <c r="O151" s="124">
        <f t="shared" si="36"/>
        <v>100</v>
      </c>
      <c r="P151" s="125"/>
      <c r="Q151" s="125"/>
      <c r="R151" s="408">
        <v>100</v>
      </c>
      <c r="S151" s="125"/>
      <c r="T151" s="125"/>
      <c r="U151" s="8">
        <v>100</v>
      </c>
    </row>
    <row r="152" spans="1:209" s="8" customFormat="1" ht="72" customHeight="1" x14ac:dyDescent="0.25">
      <c r="A152" s="272"/>
      <c r="B152" s="334" t="s">
        <v>490</v>
      </c>
      <c r="C152" s="124">
        <f t="shared" si="34"/>
        <v>50</v>
      </c>
      <c r="D152" s="125"/>
      <c r="E152" s="125"/>
      <c r="F152" s="408">
        <v>50</v>
      </c>
      <c r="G152" s="408"/>
      <c r="H152" s="125"/>
      <c r="I152" s="124">
        <f t="shared" si="35"/>
        <v>8.4</v>
      </c>
      <c r="J152" s="125"/>
      <c r="K152" s="125"/>
      <c r="L152" s="414">
        <v>8.4</v>
      </c>
      <c r="M152" s="125"/>
      <c r="N152" s="125"/>
      <c r="O152" s="124">
        <f t="shared" si="36"/>
        <v>7.5</v>
      </c>
      <c r="P152" s="125"/>
      <c r="Q152" s="125"/>
      <c r="R152" s="408">
        <v>7.5</v>
      </c>
      <c r="S152" s="125"/>
      <c r="T152" s="125"/>
    </row>
    <row r="153" spans="1:209" s="8" customFormat="1" ht="23.25" customHeight="1" x14ac:dyDescent="0.25">
      <c r="A153" s="272"/>
      <c r="B153" s="330" t="s">
        <v>310</v>
      </c>
      <c r="C153" s="124">
        <f t="shared" si="34"/>
        <v>1015.85</v>
      </c>
      <c r="D153" s="125"/>
      <c r="E153" s="125"/>
      <c r="F153" s="438">
        <f>SUM(F154:F156)</f>
        <v>1015.85</v>
      </c>
      <c r="G153" s="408"/>
      <c r="H153" s="125"/>
      <c r="I153" s="124">
        <f t="shared" si="35"/>
        <v>1296.97102</v>
      </c>
      <c r="J153" s="125"/>
      <c r="K153" s="125"/>
      <c r="L153" s="438">
        <f>SUM(L154:L156)</f>
        <v>1296.97102</v>
      </c>
      <c r="M153" s="125"/>
      <c r="N153" s="125"/>
      <c r="O153" s="124">
        <f t="shared" si="36"/>
        <v>1296.97</v>
      </c>
      <c r="P153" s="125"/>
      <c r="Q153" s="125"/>
      <c r="R153" s="438">
        <f>SUM(R154:R156)</f>
        <v>1296.97</v>
      </c>
      <c r="S153" s="125"/>
      <c r="T153" s="125"/>
      <c r="U153" s="8">
        <v>1296.97</v>
      </c>
    </row>
    <row r="154" spans="1:209" s="8" customFormat="1" ht="78.75" hidden="1" x14ac:dyDescent="0.25">
      <c r="A154" s="272"/>
      <c r="B154" s="277" t="s">
        <v>793</v>
      </c>
      <c r="C154" s="124">
        <f t="shared" si="34"/>
        <v>50</v>
      </c>
      <c r="D154" s="125"/>
      <c r="E154" s="125"/>
      <c r="F154" s="414">
        <v>50</v>
      </c>
      <c r="G154" s="408"/>
      <c r="H154" s="125"/>
      <c r="I154" s="124">
        <f t="shared" si="35"/>
        <v>0</v>
      </c>
      <c r="J154" s="125"/>
      <c r="K154" s="125"/>
      <c r="L154" s="438"/>
      <c r="M154" s="125"/>
      <c r="N154" s="125"/>
      <c r="O154" s="124">
        <f t="shared" si="36"/>
        <v>0</v>
      </c>
      <c r="P154" s="125"/>
      <c r="Q154" s="125"/>
      <c r="R154" s="438"/>
      <c r="S154" s="125"/>
      <c r="T154" s="125"/>
    </row>
    <row r="155" spans="1:209" s="8" customFormat="1" ht="63" hidden="1" x14ac:dyDescent="0.25">
      <c r="A155" s="272"/>
      <c r="B155" s="277" t="s">
        <v>491</v>
      </c>
      <c r="C155" s="124">
        <f t="shared" si="34"/>
        <v>30</v>
      </c>
      <c r="D155" s="125"/>
      <c r="E155" s="125"/>
      <c r="F155" s="408">
        <v>30</v>
      </c>
      <c r="G155" s="408"/>
      <c r="H155" s="125"/>
      <c r="I155" s="124">
        <f t="shared" si="35"/>
        <v>0</v>
      </c>
      <c r="J155" s="125"/>
      <c r="K155" s="125"/>
      <c r="L155" s="414"/>
      <c r="M155" s="125"/>
      <c r="N155" s="125"/>
      <c r="O155" s="124">
        <f t="shared" si="36"/>
        <v>0</v>
      </c>
      <c r="P155" s="125"/>
      <c r="Q155" s="125"/>
      <c r="R155" s="423"/>
      <c r="S155" s="125"/>
      <c r="T155" s="125"/>
    </row>
    <row r="156" spans="1:209" s="8" customFormat="1" x14ac:dyDescent="0.25">
      <c r="A156" s="272"/>
      <c r="B156" s="335" t="s">
        <v>794</v>
      </c>
      <c r="C156" s="124">
        <f t="shared" si="34"/>
        <v>935.85</v>
      </c>
      <c r="D156" s="125"/>
      <c r="E156" s="125"/>
      <c r="F156" s="408">
        <v>935.85</v>
      </c>
      <c r="G156" s="125"/>
      <c r="H156" s="125"/>
      <c r="I156" s="124">
        <f t="shared" si="35"/>
        <v>1296.97102</v>
      </c>
      <c r="J156" s="125"/>
      <c r="K156" s="125"/>
      <c r="L156" s="414">
        <v>1296.97102</v>
      </c>
      <c r="M156" s="125"/>
      <c r="N156" s="125"/>
      <c r="O156" s="124">
        <f t="shared" si="36"/>
        <v>1296.97</v>
      </c>
      <c r="P156" s="125"/>
      <c r="Q156" s="125"/>
      <c r="R156" s="414">
        <v>1296.97</v>
      </c>
      <c r="S156" s="125"/>
      <c r="T156" s="125"/>
    </row>
    <row r="157" spans="1:209" s="283" customFormat="1" ht="47.25" x14ac:dyDescent="0.3">
      <c r="A157" s="551">
        <v>14</v>
      </c>
      <c r="B157" s="390" t="s">
        <v>1185</v>
      </c>
      <c r="C157" s="149">
        <f>SUM(D157:H157)</f>
        <v>120</v>
      </c>
      <c r="D157" s="150"/>
      <c r="E157" s="150"/>
      <c r="F157" s="150">
        <f>F158</f>
        <v>120</v>
      </c>
      <c r="G157" s="150"/>
      <c r="H157" s="150"/>
      <c r="I157" s="149">
        <f>SUM(J157:N157)</f>
        <v>120</v>
      </c>
      <c r="J157" s="150"/>
      <c r="K157" s="150"/>
      <c r="L157" s="150">
        <f>L158</f>
        <v>120</v>
      </c>
      <c r="M157" s="150"/>
      <c r="N157" s="150"/>
      <c r="O157" s="149">
        <f>SUM(P157:T157)</f>
        <v>108.75</v>
      </c>
      <c r="P157" s="150"/>
      <c r="Q157" s="150"/>
      <c r="R157" s="150">
        <f>R158</f>
        <v>108.75</v>
      </c>
      <c r="S157" s="150"/>
      <c r="T157" s="150"/>
      <c r="U157" s="413">
        <v>120</v>
      </c>
      <c r="V157" s="735">
        <f>O157/I157*100</f>
        <v>90.625</v>
      </c>
      <c r="W157" s="734"/>
      <c r="X157" s="739"/>
      <c r="Y157" s="736"/>
      <c r="Z157" s="736"/>
      <c r="AA157" s="734"/>
      <c r="AB157" s="734"/>
      <c r="AC157" s="734"/>
      <c r="AD157" s="734"/>
      <c r="AE157" s="734"/>
      <c r="AF157" s="734"/>
      <c r="AG157" s="734"/>
      <c r="AH157" s="734"/>
      <c r="AI157" s="734"/>
      <c r="AJ157" s="734"/>
      <c r="AK157" s="734"/>
      <c r="AL157" s="734"/>
      <c r="AM157" s="734"/>
      <c r="AN157" s="734"/>
      <c r="AO157" s="734"/>
      <c r="AP157" s="734"/>
      <c r="AQ157" s="734"/>
      <c r="AR157" s="734"/>
      <c r="AS157" s="734"/>
      <c r="AT157" s="734"/>
      <c r="AU157" s="734"/>
      <c r="AV157" s="734"/>
      <c r="AW157" s="734"/>
      <c r="AX157" s="734"/>
      <c r="AY157" s="734"/>
      <c r="AZ157" s="734"/>
      <c r="BA157" s="734"/>
      <c r="BB157" s="734"/>
      <c r="BC157" s="734"/>
      <c r="BD157" s="734"/>
      <c r="BE157" s="734"/>
      <c r="BF157" s="734"/>
      <c r="BG157" s="734"/>
      <c r="BH157" s="734"/>
      <c r="BI157" s="734"/>
      <c r="BJ157" s="734"/>
      <c r="BK157" s="734"/>
      <c r="BL157" s="734"/>
      <c r="BM157" s="734"/>
      <c r="BN157" s="734"/>
      <c r="BO157" s="734"/>
      <c r="BP157" s="734"/>
      <c r="BQ157" s="734"/>
      <c r="BR157" s="734"/>
      <c r="BS157" s="734"/>
      <c r="BT157" s="734"/>
      <c r="BU157" s="734"/>
      <c r="BV157" s="734"/>
      <c r="BW157" s="734"/>
      <c r="BX157" s="734"/>
      <c r="BY157" s="734"/>
      <c r="BZ157" s="734"/>
      <c r="CA157" s="734"/>
      <c r="CB157" s="734"/>
      <c r="CC157" s="734"/>
      <c r="CD157" s="734"/>
      <c r="CE157" s="734"/>
      <c r="CF157" s="734"/>
      <c r="CG157" s="734"/>
      <c r="CH157" s="734"/>
      <c r="CI157" s="734"/>
      <c r="CJ157" s="734"/>
      <c r="CK157" s="734"/>
      <c r="CL157" s="734"/>
      <c r="CM157" s="734"/>
      <c r="CN157" s="734"/>
      <c r="CO157" s="734"/>
      <c r="CP157" s="734"/>
      <c r="CQ157" s="734"/>
      <c r="CR157" s="734"/>
      <c r="CS157" s="734"/>
      <c r="CT157" s="734"/>
      <c r="CU157" s="734"/>
      <c r="CV157" s="734"/>
      <c r="CW157" s="734"/>
      <c r="CX157" s="734"/>
      <c r="CY157" s="734"/>
      <c r="CZ157" s="734"/>
      <c r="DA157" s="734"/>
      <c r="DB157" s="734"/>
      <c r="DC157" s="734"/>
      <c r="DD157" s="734"/>
      <c r="DE157" s="734"/>
      <c r="DF157" s="734"/>
      <c r="DG157" s="734"/>
      <c r="DH157" s="734"/>
      <c r="DI157" s="734"/>
      <c r="DJ157" s="734"/>
      <c r="DK157" s="734"/>
      <c r="DL157" s="734"/>
      <c r="DM157" s="734"/>
      <c r="DN157" s="734"/>
      <c r="DO157" s="734"/>
      <c r="DP157" s="734"/>
      <c r="DQ157" s="734"/>
      <c r="DR157" s="734"/>
      <c r="DS157" s="734"/>
      <c r="DT157" s="734"/>
      <c r="DU157" s="734"/>
      <c r="DV157" s="734"/>
      <c r="DW157" s="734"/>
      <c r="DX157" s="734"/>
      <c r="DY157" s="734"/>
      <c r="DZ157" s="734"/>
      <c r="EA157" s="734"/>
      <c r="EB157" s="734"/>
      <c r="EC157" s="734"/>
      <c r="ED157" s="734"/>
      <c r="EE157" s="734"/>
      <c r="EF157" s="734"/>
      <c r="EG157" s="734"/>
      <c r="EH157" s="734"/>
      <c r="EI157" s="734"/>
      <c r="EJ157" s="734"/>
      <c r="EK157" s="734"/>
      <c r="EL157" s="734"/>
      <c r="EM157" s="734"/>
      <c r="EN157" s="734"/>
      <c r="EO157" s="734"/>
      <c r="EP157" s="734"/>
      <c r="EQ157" s="734"/>
      <c r="ER157" s="734"/>
      <c r="ES157" s="734"/>
      <c r="ET157" s="734"/>
      <c r="EU157" s="734"/>
      <c r="EV157" s="734"/>
      <c r="EW157" s="734"/>
      <c r="EX157" s="734"/>
      <c r="EY157" s="734"/>
      <c r="EZ157" s="734"/>
      <c r="FA157" s="734"/>
      <c r="FB157" s="734"/>
      <c r="FC157" s="734"/>
      <c r="FD157" s="734"/>
      <c r="FE157" s="734"/>
      <c r="FF157" s="734"/>
      <c r="FG157" s="734"/>
      <c r="FH157" s="734"/>
      <c r="FI157" s="734"/>
      <c r="FJ157" s="734"/>
      <c r="FK157" s="734"/>
      <c r="FL157" s="734"/>
      <c r="FM157" s="734"/>
      <c r="FN157" s="734"/>
      <c r="FO157" s="734"/>
      <c r="FP157" s="734"/>
      <c r="FQ157" s="734"/>
      <c r="FR157" s="734"/>
      <c r="FS157" s="734"/>
      <c r="FT157" s="734"/>
      <c r="FU157" s="734"/>
      <c r="FV157" s="734"/>
      <c r="FW157" s="734"/>
      <c r="FX157" s="734"/>
      <c r="FY157" s="734"/>
      <c r="FZ157" s="734"/>
      <c r="GA157" s="734"/>
      <c r="GB157" s="734"/>
      <c r="GC157" s="734"/>
      <c r="GD157" s="734"/>
      <c r="GE157" s="734"/>
      <c r="GF157" s="734"/>
      <c r="GG157" s="734"/>
      <c r="GH157" s="734"/>
      <c r="GI157" s="734"/>
      <c r="GJ157" s="734"/>
      <c r="GK157" s="734"/>
      <c r="GL157" s="734"/>
      <c r="GM157" s="734"/>
      <c r="GN157" s="734"/>
      <c r="GO157" s="734"/>
      <c r="GP157" s="734"/>
      <c r="GQ157" s="734"/>
      <c r="GR157" s="734"/>
      <c r="GS157" s="734"/>
      <c r="GT157" s="734"/>
      <c r="GU157" s="734"/>
      <c r="GV157" s="734"/>
      <c r="GW157" s="734"/>
      <c r="GX157" s="734"/>
      <c r="GY157" s="734"/>
      <c r="GZ157" s="734"/>
      <c r="HA157" s="734"/>
    </row>
    <row r="158" spans="1:209" s="8" customFormat="1" ht="31.5" x14ac:dyDescent="0.25">
      <c r="A158" s="272"/>
      <c r="B158" s="343" t="s">
        <v>887</v>
      </c>
      <c r="C158" s="124">
        <f>SUM(D158:H158)</f>
        <v>120</v>
      </c>
      <c r="D158" s="125"/>
      <c r="E158" s="125"/>
      <c r="F158" s="420">
        <f>SUM(F159:F160)</f>
        <v>120</v>
      </c>
      <c r="G158" s="125"/>
      <c r="H158" s="125"/>
      <c r="I158" s="124">
        <f>SUM(J158:N158)</f>
        <v>120</v>
      </c>
      <c r="J158" s="125"/>
      <c r="K158" s="125"/>
      <c r="L158" s="420">
        <f>SUM(L159:L160)</f>
        <v>120</v>
      </c>
      <c r="M158" s="125"/>
      <c r="N158" s="125"/>
      <c r="O158" s="124">
        <f>SUM(P158:T158)</f>
        <v>108.75</v>
      </c>
      <c r="P158" s="125"/>
      <c r="Q158" s="125"/>
      <c r="R158" s="125">
        <f>SUM(R159:R160)</f>
        <v>108.75</v>
      </c>
      <c r="S158" s="125"/>
      <c r="T158" s="125"/>
    </row>
    <row r="159" spans="1:209" s="8" customFormat="1" x14ac:dyDescent="0.25">
      <c r="A159" s="272"/>
      <c r="B159" s="344" t="s">
        <v>644</v>
      </c>
      <c r="C159" s="124">
        <f>SUM(D159:H159)</f>
        <v>111.25</v>
      </c>
      <c r="D159" s="125"/>
      <c r="E159" s="125"/>
      <c r="F159" s="125">
        <v>111.25</v>
      </c>
      <c r="G159" s="125"/>
      <c r="H159" s="125"/>
      <c r="I159" s="124">
        <f>SUM(J159:N159)</f>
        <v>111.25</v>
      </c>
      <c r="J159" s="125"/>
      <c r="K159" s="125"/>
      <c r="L159" s="125">
        <v>111.25</v>
      </c>
      <c r="M159" s="125"/>
      <c r="N159" s="125"/>
      <c r="O159" s="124">
        <f>SUM(P159:T159)</f>
        <v>100</v>
      </c>
      <c r="P159" s="125"/>
      <c r="Q159" s="125"/>
      <c r="R159" s="408">
        <v>100</v>
      </c>
      <c r="S159" s="125"/>
      <c r="T159" s="125"/>
    </row>
    <row r="160" spans="1:209" s="8" customFormat="1" x14ac:dyDescent="0.25">
      <c r="A160" s="272"/>
      <c r="B160" s="344" t="s">
        <v>645</v>
      </c>
      <c r="C160" s="124">
        <f>SUM(D160:H160)</f>
        <v>8.75</v>
      </c>
      <c r="D160" s="125"/>
      <c r="E160" s="125"/>
      <c r="F160" s="125">
        <v>8.75</v>
      </c>
      <c r="G160" s="125"/>
      <c r="H160" s="125"/>
      <c r="I160" s="124">
        <f>SUM(J160:N160)</f>
        <v>8.75</v>
      </c>
      <c r="J160" s="125"/>
      <c r="K160" s="125"/>
      <c r="L160" s="125">
        <v>8.75</v>
      </c>
      <c r="M160" s="125"/>
      <c r="N160" s="125"/>
      <c r="O160" s="124">
        <f>SUM(P160:T160)</f>
        <v>8.75</v>
      </c>
      <c r="P160" s="125"/>
      <c r="Q160" s="125"/>
      <c r="R160" s="408">
        <v>8.75</v>
      </c>
      <c r="S160" s="125"/>
      <c r="T160" s="125"/>
    </row>
    <row r="161" spans="1:209" s="283" customFormat="1" ht="52.5" customHeight="1" x14ac:dyDescent="0.3">
      <c r="A161" s="551">
        <v>15</v>
      </c>
      <c r="B161" s="80" t="s">
        <v>1186</v>
      </c>
      <c r="C161" s="149">
        <f>SUM(D161:H161)</f>
        <v>10914.1</v>
      </c>
      <c r="D161" s="149"/>
      <c r="E161" s="149"/>
      <c r="F161" s="149">
        <f>SUM(F162+F163+F169)</f>
        <v>10914.1</v>
      </c>
      <c r="G161" s="149"/>
      <c r="H161" s="149"/>
      <c r="I161" s="149">
        <f>SUM(J161:N161)</f>
        <v>13678.48991</v>
      </c>
      <c r="J161" s="149"/>
      <c r="K161" s="149">
        <f>K162+K163+K169</f>
        <v>1510.8</v>
      </c>
      <c r="L161" s="149">
        <f>L162+L163+L169</f>
        <v>12167.689910000001</v>
      </c>
      <c r="M161" s="149"/>
      <c r="N161" s="149"/>
      <c r="O161" s="149">
        <f t="shared" ref="O161:O179" si="37">SUM(P161:T161)</f>
        <v>13649.903530000001</v>
      </c>
      <c r="P161" s="149"/>
      <c r="Q161" s="149">
        <f>SUM(Q162+Q163+Q169)</f>
        <v>1510.8</v>
      </c>
      <c r="R161" s="149">
        <f>R162+R163+R169</f>
        <v>12139.103530000002</v>
      </c>
      <c r="S161" s="149"/>
      <c r="T161" s="149"/>
      <c r="U161" s="149">
        <f>U162+U163+U169</f>
        <v>9778.82</v>
      </c>
      <c r="V161" s="735">
        <f>O161/I161*100</f>
        <v>99.791012164441483</v>
      </c>
      <c r="W161" s="734"/>
      <c r="X161" s="739"/>
      <c r="Y161" s="736"/>
      <c r="Z161" s="736"/>
      <c r="AA161" s="734"/>
      <c r="AB161" s="734"/>
      <c r="AC161" s="734"/>
      <c r="AD161" s="734"/>
      <c r="AE161" s="734"/>
      <c r="AF161" s="734"/>
      <c r="AG161" s="734"/>
      <c r="AH161" s="734"/>
      <c r="AI161" s="734"/>
      <c r="AJ161" s="734"/>
      <c r="AK161" s="734"/>
      <c r="AL161" s="734"/>
      <c r="AM161" s="734"/>
      <c r="AN161" s="734"/>
      <c r="AO161" s="734"/>
      <c r="AP161" s="734"/>
      <c r="AQ161" s="734"/>
      <c r="AR161" s="734"/>
      <c r="AS161" s="734"/>
      <c r="AT161" s="734"/>
      <c r="AU161" s="734"/>
      <c r="AV161" s="734"/>
      <c r="AW161" s="734"/>
      <c r="AX161" s="734"/>
      <c r="AY161" s="734"/>
      <c r="AZ161" s="734"/>
      <c r="BA161" s="734"/>
      <c r="BB161" s="734"/>
      <c r="BC161" s="734"/>
      <c r="BD161" s="734"/>
      <c r="BE161" s="734"/>
      <c r="BF161" s="734"/>
      <c r="BG161" s="734"/>
      <c r="BH161" s="734"/>
      <c r="BI161" s="734"/>
      <c r="BJ161" s="734"/>
      <c r="BK161" s="734"/>
      <c r="BL161" s="734"/>
      <c r="BM161" s="734"/>
      <c r="BN161" s="734"/>
      <c r="BO161" s="734"/>
      <c r="BP161" s="734"/>
      <c r="BQ161" s="734"/>
      <c r="BR161" s="734"/>
      <c r="BS161" s="734"/>
      <c r="BT161" s="734"/>
      <c r="BU161" s="734"/>
      <c r="BV161" s="734"/>
      <c r="BW161" s="734"/>
      <c r="BX161" s="734"/>
      <c r="BY161" s="734"/>
      <c r="BZ161" s="734"/>
      <c r="CA161" s="734"/>
      <c r="CB161" s="734"/>
      <c r="CC161" s="734"/>
      <c r="CD161" s="734"/>
      <c r="CE161" s="734"/>
      <c r="CF161" s="734"/>
      <c r="CG161" s="734"/>
      <c r="CH161" s="734"/>
      <c r="CI161" s="734"/>
      <c r="CJ161" s="734"/>
      <c r="CK161" s="734"/>
      <c r="CL161" s="734"/>
      <c r="CM161" s="734"/>
      <c r="CN161" s="734"/>
      <c r="CO161" s="734"/>
      <c r="CP161" s="734"/>
      <c r="CQ161" s="734"/>
      <c r="CR161" s="734"/>
      <c r="CS161" s="734"/>
      <c r="CT161" s="734"/>
      <c r="CU161" s="734"/>
      <c r="CV161" s="734"/>
      <c r="CW161" s="734"/>
      <c r="CX161" s="734"/>
      <c r="CY161" s="734"/>
      <c r="CZ161" s="734"/>
      <c r="DA161" s="734"/>
      <c r="DB161" s="734"/>
      <c r="DC161" s="734"/>
      <c r="DD161" s="734"/>
      <c r="DE161" s="734"/>
      <c r="DF161" s="734"/>
      <c r="DG161" s="734"/>
      <c r="DH161" s="734"/>
      <c r="DI161" s="734"/>
      <c r="DJ161" s="734"/>
      <c r="DK161" s="734"/>
      <c r="DL161" s="734"/>
      <c r="DM161" s="734"/>
      <c r="DN161" s="734"/>
      <c r="DO161" s="734"/>
      <c r="DP161" s="734"/>
      <c r="DQ161" s="734"/>
      <c r="DR161" s="734"/>
      <c r="DS161" s="734"/>
      <c r="DT161" s="734"/>
      <c r="DU161" s="734"/>
      <c r="DV161" s="734"/>
      <c r="DW161" s="734"/>
      <c r="DX161" s="734"/>
      <c r="DY161" s="734"/>
      <c r="DZ161" s="734"/>
      <c r="EA161" s="734"/>
      <c r="EB161" s="734"/>
      <c r="EC161" s="734"/>
      <c r="ED161" s="734"/>
      <c r="EE161" s="734"/>
      <c r="EF161" s="734"/>
      <c r="EG161" s="734"/>
      <c r="EH161" s="734"/>
      <c r="EI161" s="734"/>
      <c r="EJ161" s="734"/>
      <c r="EK161" s="734"/>
      <c r="EL161" s="734"/>
      <c r="EM161" s="734"/>
      <c r="EN161" s="734"/>
      <c r="EO161" s="734"/>
      <c r="EP161" s="734"/>
      <c r="EQ161" s="734"/>
      <c r="ER161" s="734"/>
      <c r="ES161" s="734"/>
      <c r="ET161" s="734"/>
      <c r="EU161" s="734"/>
      <c r="EV161" s="734"/>
      <c r="EW161" s="734"/>
      <c r="EX161" s="734"/>
      <c r="EY161" s="734"/>
      <c r="EZ161" s="734"/>
      <c r="FA161" s="734"/>
      <c r="FB161" s="734"/>
      <c r="FC161" s="734"/>
      <c r="FD161" s="734"/>
      <c r="FE161" s="734"/>
      <c r="FF161" s="734"/>
      <c r="FG161" s="734"/>
      <c r="FH161" s="734"/>
      <c r="FI161" s="734"/>
      <c r="FJ161" s="734"/>
      <c r="FK161" s="734"/>
      <c r="FL161" s="734"/>
      <c r="FM161" s="734"/>
      <c r="FN161" s="734"/>
      <c r="FO161" s="734"/>
      <c r="FP161" s="734"/>
      <c r="FQ161" s="734"/>
      <c r="FR161" s="734"/>
      <c r="FS161" s="734"/>
      <c r="FT161" s="734"/>
      <c r="FU161" s="734"/>
      <c r="FV161" s="734"/>
      <c r="FW161" s="734"/>
      <c r="FX161" s="734"/>
      <c r="FY161" s="734"/>
      <c r="FZ161" s="734"/>
      <c r="GA161" s="734"/>
      <c r="GB161" s="734"/>
      <c r="GC161" s="734"/>
      <c r="GD161" s="734"/>
      <c r="GE161" s="734"/>
      <c r="GF161" s="734"/>
      <c r="GG161" s="734"/>
      <c r="GH161" s="734"/>
      <c r="GI161" s="734"/>
      <c r="GJ161" s="734"/>
      <c r="GK161" s="734"/>
      <c r="GL161" s="734"/>
      <c r="GM161" s="734"/>
      <c r="GN161" s="734"/>
      <c r="GO161" s="734"/>
      <c r="GP161" s="734"/>
      <c r="GQ161" s="734"/>
      <c r="GR161" s="734"/>
      <c r="GS161" s="734"/>
      <c r="GT161" s="734"/>
      <c r="GU161" s="734"/>
      <c r="GV161" s="734"/>
      <c r="GW161" s="734"/>
      <c r="GX161" s="734"/>
      <c r="GY161" s="734"/>
      <c r="GZ161" s="734"/>
      <c r="HA161" s="734"/>
    </row>
    <row r="162" spans="1:209" s="8" customFormat="1" x14ac:dyDescent="0.25">
      <c r="A162" s="272"/>
      <c r="B162" s="318" t="s">
        <v>642</v>
      </c>
      <c r="C162" s="124">
        <f t="shared" ref="C162:C179" si="38">SUM(D162:H162)</f>
        <v>10324.1</v>
      </c>
      <c r="D162" s="125"/>
      <c r="E162" s="420"/>
      <c r="F162" s="446">
        <v>10324.1</v>
      </c>
      <c r="G162" s="420"/>
      <c r="H162" s="420"/>
      <c r="I162" s="124">
        <f t="shared" ref="I162:I179" si="39">SUM(J162:N162)</f>
        <v>11062.04</v>
      </c>
      <c r="J162" s="420"/>
      <c r="K162" s="420"/>
      <c r="L162" s="407">
        <v>11062.04</v>
      </c>
      <c r="M162" s="420"/>
      <c r="N162" s="420"/>
      <c r="O162" s="124">
        <f t="shared" si="37"/>
        <v>11047.313620000001</v>
      </c>
      <c r="P162" s="420"/>
      <c r="Q162" s="420"/>
      <c r="R162" s="407">
        <v>11047.313620000001</v>
      </c>
      <c r="S162" s="420"/>
      <c r="T162" s="420"/>
      <c r="U162" s="278">
        <f>L162/4*3</f>
        <v>8296.5300000000007</v>
      </c>
    </row>
    <row r="163" spans="1:209" s="8" customFormat="1" ht="31.5" x14ac:dyDescent="0.25">
      <c r="A163" s="272"/>
      <c r="B163" s="319" t="s">
        <v>795</v>
      </c>
      <c r="C163" s="124">
        <f t="shared" si="38"/>
        <v>200</v>
      </c>
      <c r="D163" s="125"/>
      <c r="E163" s="420"/>
      <c r="F163" s="446">
        <f>F164</f>
        <v>200</v>
      </c>
      <c r="G163" s="420"/>
      <c r="H163" s="420"/>
      <c r="I163" s="124">
        <f t="shared" si="39"/>
        <v>207.66990999999999</v>
      </c>
      <c r="J163" s="420"/>
      <c r="K163" s="420"/>
      <c r="L163" s="420">
        <f>L164</f>
        <v>207.66990999999999</v>
      </c>
      <c r="M163" s="420"/>
      <c r="N163" s="420"/>
      <c r="O163" s="124">
        <f t="shared" si="37"/>
        <v>207.58991</v>
      </c>
      <c r="P163" s="420"/>
      <c r="Q163" s="420"/>
      <c r="R163" s="407">
        <f>R164</f>
        <v>207.58991</v>
      </c>
      <c r="S163" s="125"/>
      <c r="T163" s="420"/>
      <c r="U163" s="407">
        <f>U164</f>
        <v>145.65</v>
      </c>
    </row>
    <row r="164" spans="1:209" s="450" customFormat="1" ht="31.5" x14ac:dyDescent="0.25">
      <c r="A164" s="447"/>
      <c r="B164" s="341" t="s">
        <v>492</v>
      </c>
      <c r="C164" s="428">
        <f t="shared" si="38"/>
        <v>200</v>
      </c>
      <c r="D164" s="448"/>
      <c r="E164" s="448"/>
      <c r="F164" s="448">
        <f>SUM(F165:F167)</f>
        <v>200</v>
      </c>
      <c r="G164" s="448"/>
      <c r="H164" s="448"/>
      <c r="I164" s="428">
        <f t="shared" si="39"/>
        <v>207.66990999999999</v>
      </c>
      <c r="J164" s="448"/>
      <c r="K164" s="448"/>
      <c r="L164" s="449">
        <f>SUM(L165:L168)</f>
        <v>207.66990999999999</v>
      </c>
      <c r="M164" s="448"/>
      <c r="N164" s="448"/>
      <c r="O164" s="428">
        <f t="shared" si="37"/>
        <v>207.58991</v>
      </c>
      <c r="P164" s="448"/>
      <c r="Q164" s="448"/>
      <c r="R164" s="449">
        <f>SUM(R165:R168)</f>
        <v>207.58991</v>
      </c>
      <c r="S164" s="430"/>
      <c r="T164" s="448"/>
      <c r="U164" s="449">
        <f>SUM(U165:U168)</f>
        <v>145.65</v>
      </c>
    </row>
    <row r="165" spans="1:209" s="8" customFormat="1" ht="47.25" x14ac:dyDescent="0.25">
      <c r="A165" s="272"/>
      <c r="B165" s="169" t="s">
        <v>493</v>
      </c>
      <c r="C165" s="124">
        <f t="shared" si="38"/>
        <v>100</v>
      </c>
      <c r="D165" s="125"/>
      <c r="E165" s="125"/>
      <c r="F165" s="451">
        <v>100</v>
      </c>
      <c r="G165" s="125"/>
      <c r="H165" s="125"/>
      <c r="I165" s="124">
        <f t="shared" si="39"/>
        <v>95.214789999999994</v>
      </c>
      <c r="J165" s="125"/>
      <c r="K165" s="125"/>
      <c r="L165" s="451">
        <v>95.214789999999994</v>
      </c>
      <c r="M165" s="125"/>
      <c r="N165" s="125"/>
      <c r="O165" s="124">
        <f t="shared" si="37"/>
        <v>95.134789999999995</v>
      </c>
      <c r="P165" s="125"/>
      <c r="Q165" s="125"/>
      <c r="R165" s="125">
        <v>95.134789999999995</v>
      </c>
      <c r="S165" s="125"/>
      <c r="T165" s="125"/>
      <c r="U165" s="278">
        <v>50</v>
      </c>
    </row>
    <row r="166" spans="1:209" s="8" customFormat="1" ht="31.5" x14ac:dyDescent="0.25">
      <c r="A166" s="272"/>
      <c r="B166" s="169" t="s">
        <v>494</v>
      </c>
      <c r="C166" s="124">
        <f t="shared" si="38"/>
        <v>50</v>
      </c>
      <c r="D166" s="125"/>
      <c r="E166" s="125"/>
      <c r="F166" s="451">
        <v>50</v>
      </c>
      <c r="G166" s="125"/>
      <c r="H166" s="125"/>
      <c r="I166" s="124">
        <f t="shared" si="39"/>
        <v>50</v>
      </c>
      <c r="J166" s="125"/>
      <c r="K166" s="125"/>
      <c r="L166" s="451">
        <v>50</v>
      </c>
      <c r="M166" s="125"/>
      <c r="N166" s="125"/>
      <c r="O166" s="124">
        <f t="shared" si="37"/>
        <v>50</v>
      </c>
      <c r="P166" s="125"/>
      <c r="Q166" s="125"/>
      <c r="R166" s="408">
        <v>50</v>
      </c>
      <c r="S166" s="125"/>
      <c r="T166" s="125"/>
      <c r="U166" s="278">
        <v>30</v>
      </c>
    </row>
    <row r="167" spans="1:209" s="8" customFormat="1" x14ac:dyDescent="0.25">
      <c r="A167" s="272"/>
      <c r="B167" s="169" t="s">
        <v>495</v>
      </c>
      <c r="C167" s="124">
        <f t="shared" si="38"/>
        <v>50</v>
      </c>
      <c r="D167" s="125"/>
      <c r="E167" s="125"/>
      <c r="F167" s="451">
        <v>50</v>
      </c>
      <c r="G167" s="125"/>
      <c r="H167" s="125"/>
      <c r="I167" s="124">
        <f t="shared" si="39"/>
        <v>46.805120000000002</v>
      </c>
      <c r="J167" s="125"/>
      <c r="K167" s="125"/>
      <c r="L167" s="451">
        <v>46.805120000000002</v>
      </c>
      <c r="M167" s="125"/>
      <c r="N167" s="125"/>
      <c r="O167" s="124">
        <f t="shared" si="37"/>
        <v>46.805120000000002</v>
      </c>
      <c r="P167" s="125"/>
      <c r="Q167" s="125"/>
      <c r="R167" s="408">
        <v>46.805120000000002</v>
      </c>
      <c r="S167" s="125"/>
      <c r="T167" s="125"/>
      <c r="U167" s="278">
        <v>50</v>
      </c>
    </row>
    <row r="168" spans="1:209" s="8" customFormat="1" x14ac:dyDescent="0.25">
      <c r="A168" s="272"/>
      <c r="B168" s="169" t="s">
        <v>797</v>
      </c>
      <c r="C168" s="124"/>
      <c r="D168" s="125"/>
      <c r="E168" s="125"/>
      <c r="F168" s="451"/>
      <c r="G168" s="125"/>
      <c r="H168" s="125"/>
      <c r="I168" s="124">
        <f t="shared" si="39"/>
        <v>15.65</v>
      </c>
      <c r="J168" s="125"/>
      <c r="K168" s="125"/>
      <c r="L168" s="451">
        <v>15.65</v>
      </c>
      <c r="M168" s="125"/>
      <c r="N168" s="125"/>
      <c r="O168" s="124"/>
      <c r="P168" s="125"/>
      <c r="Q168" s="125"/>
      <c r="R168" s="408">
        <v>15.65</v>
      </c>
      <c r="S168" s="125"/>
      <c r="T168" s="125"/>
      <c r="U168" s="278">
        <v>15.65</v>
      </c>
    </row>
    <row r="169" spans="1:209" s="328" customFormat="1" ht="31.5" x14ac:dyDescent="0.25">
      <c r="A169" s="325"/>
      <c r="B169" s="319" t="s">
        <v>796</v>
      </c>
      <c r="C169" s="124">
        <f t="shared" si="38"/>
        <v>390</v>
      </c>
      <c r="D169" s="420"/>
      <c r="E169" s="420"/>
      <c r="F169" s="420">
        <f>SUM(F170+F172)</f>
        <v>390</v>
      </c>
      <c r="G169" s="420"/>
      <c r="H169" s="420"/>
      <c r="I169" s="124">
        <f t="shared" si="39"/>
        <v>2408.7799999999997</v>
      </c>
      <c r="J169" s="420"/>
      <c r="K169" s="407">
        <f>SUM(K170+K172)</f>
        <v>1510.8</v>
      </c>
      <c r="L169" s="407">
        <f>SUM(L170+L172)</f>
        <v>897.98</v>
      </c>
      <c r="M169" s="420"/>
      <c r="N169" s="420"/>
      <c r="O169" s="124">
        <f t="shared" si="37"/>
        <v>2395</v>
      </c>
      <c r="P169" s="420"/>
      <c r="Q169" s="407">
        <f>SUM(Q170+Q172)</f>
        <v>1510.8</v>
      </c>
      <c r="R169" s="407">
        <f>SUM(R170+R172)</f>
        <v>884.2</v>
      </c>
      <c r="S169" s="420"/>
      <c r="T169" s="420"/>
      <c r="U169" s="407">
        <f>SUM(U170+U172)</f>
        <v>1336.6399999999999</v>
      </c>
    </row>
    <row r="170" spans="1:209" s="305" customFormat="1" ht="31.5" x14ac:dyDescent="0.25">
      <c r="A170" s="298"/>
      <c r="B170" s="342" t="s">
        <v>496</v>
      </c>
      <c r="C170" s="428">
        <f t="shared" si="38"/>
        <v>390</v>
      </c>
      <c r="D170" s="424"/>
      <c r="E170" s="424"/>
      <c r="F170" s="449">
        <f>F171</f>
        <v>390</v>
      </c>
      <c r="G170" s="424"/>
      <c r="H170" s="424"/>
      <c r="I170" s="428">
        <f t="shared" si="39"/>
        <v>597.98</v>
      </c>
      <c r="J170" s="424"/>
      <c r="K170" s="424"/>
      <c r="L170" s="452">
        <f>L171</f>
        <v>597.98</v>
      </c>
      <c r="M170" s="424"/>
      <c r="N170" s="424"/>
      <c r="O170" s="428">
        <f t="shared" si="37"/>
        <v>596</v>
      </c>
      <c r="P170" s="424"/>
      <c r="Q170" s="424"/>
      <c r="R170" s="452">
        <f>SUM(R171:R171)</f>
        <v>596</v>
      </c>
      <c r="S170" s="424"/>
      <c r="T170" s="424"/>
      <c r="U170" s="452">
        <f>SUM(U171:U171)</f>
        <v>231</v>
      </c>
    </row>
    <row r="171" spans="1:209" s="8" customFormat="1" ht="34.5" customHeight="1" x14ac:dyDescent="0.25">
      <c r="A171" s="272"/>
      <c r="B171" s="7" t="s">
        <v>497</v>
      </c>
      <c r="C171" s="124">
        <f t="shared" si="38"/>
        <v>390</v>
      </c>
      <c r="D171" s="446"/>
      <c r="E171" s="446"/>
      <c r="F171" s="451">
        <v>390</v>
      </c>
      <c r="G171" s="446"/>
      <c r="H171" s="446"/>
      <c r="I171" s="124">
        <f t="shared" si="39"/>
        <v>597.98</v>
      </c>
      <c r="J171" s="446"/>
      <c r="K171" s="446"/>
      <c r="L171" s="419">
        <v>597.98</v>
      </c>
      <c r="M171" s="446"/>
      <c r="N171" s="446"/>
      <c r="O171" s="124">
        <f t="shared" si="37"/>
        <v>596</v>
      </c>
      <c r="P171" s="446"/>
      <c r="Q171" s="446"/>
      <c r="R171" s="419">
        <v>596</v>
      </c>
      <c r="S171" s="125"/>
      <c r="T171" s="446"/>
      <c r="U171" s="278">
        <v>231</v>
      </c>
    </row>
    <row r="172" spans="1:209" s="305" customFormat="1" ht="31.5" x14ac:dyDescent="0.25">
      <c r="A172" s="298"/>
      <c r="B172" s="342" t="s">
        <v>498</v>
      </c>
      <c r="C172" s="425">
        <f>SUM(D172:H172)</f>
        <v>0</v>
      </c>
      <c r="D172" s="424"/>
      <c r="E172" s="449">
        <f>SUM(E173:E174)</f>
        <v>0</v>
      </c>
      <c r="F172" s="449">
        <f>SUM(F173:F174)</f>
        <v>0</v>
      </c>
      <c r="G172" s="424"/>
      <c r="H172" s="424"/>
      <c r="I172" s="425">
        <f t="shared" si="39"/>
        <v>1810.8</v>
      </c>
      <c r="J172" s="424"/>
      <c r="K172" s="452">
        <f>SUM(K173:K174)</f>
        <v>1510.8</v>
      </c>
      <c r="L172" s="452">
        <f>SUM(L173:L174)</f>
        <v>300</v>
      </c>
      <c r="M172" s="424"/>
      <c r="N172" s="424"/>
      <c r="O172" s="425">
        <f t="shared" si="37"/>
        <v>1799</v>
      </c>
      <c r="P172" s="424"/>
      <c r="Q172" s="452">
        <f>SUM(Q173:Q174)</f>
        <v>1510.8</v>
      </c>
      <c r="R172" s="452">
        <f>SUM(R173:R174)</f>
        <v>288.2</v>
      </c>
      <c r="S172" s="424"/>
      <c r="T172" s="424"/>
      <c r="U172" s="452">
        <f>SUM(U173:U174)</f>
        <v>1105.6399999999999</v>
      </c>
    </row>
    <row r="173" spans="1:209" s="8" customFormat="1" x14ac:dyDescent="0.25">
      <c r="A173" s="272"/>
      <c r="B173" s="7" t="s">
        <v>42</v>
      </c>
      <c r="C173" s="124">
        <f t="shared" si="38"/>
        <v>0</v>
      </c>
      <c r="D173" s="446"/>
      <c r="E173" s="451"/>
      <c r="F173" s="451"/>
      <c r="G173" s="446"/>
      <c r="H173" s="446"/>
      <c r="I173" s="124">
        <f t="shared" si="39"/>
        <v>1799</v>
      </c>
      <c r="J173" s="446"/>
      <c r="K173" s="451">
        <v>1510.8</v>
      </c>
      <c r="L173" s="419">
        <v>288.2</v>
      </c>
      <c r="M173" s="446"/>
      <c r="N173" s="446"/>
      <c r="O173" s="124">
        <f t="shared" si="37"/>
        <v>1799</v>
      </c>
      <c r="P173" s="446"/>
      <c r="Q173" s="451">
        <v>1510.8</v>
      </c>
      <c r="R173" s="419">
        <v>288.2</v>
      </c>
      <c r="S173" s="125"/>
      <c r="T173" s="446"/>
      <c r="U173" s="278">
        <f>255+750.64</f>
        <v>1005.64</v>
      </c>
    </row>
    <row r="174" spans="1:209" s="8" customFormat="1" ht="31.5" x14ac:dyDescent="0.25">
      <c r="A174" s="272"/>
      <c r="B174" s="7" t="s">
        <v>798</v>
      </c>
      <c r="C174" s="124">
        <f t="shared" si="38"/>
        <v>0</v>
      </c>
      <c r="D174" s="446"/>
      <c r="E174" s="451"/>
      <c r="F174" s="451"/>
      <c r="G174" s="446"/>
      <c r="H174" s="446"/>
      <c r="I174" s="124">
        <f t="shared" si="39"/>
        <v>11.8</v>
      </c>
      <c r="J174" s="446"/>
      <c r="K174" s="446"/>
      <c r="L174" s="419">
        <v>11.8</v>
      </c>
      <c r="M174" s="446"/>
      <c r="N174" s="446"/>
      <c r="O174" s="124">
        <f t="shared" si="37"/>
        <v>0</v>
      </c>
      <c r="P174" s="446"/>
      <c r="Q174" s="446"/>
      <c r="R174" s="419"/>
      <c r="S174" s="125"/>
      <c r="T174" s="446"/>
      <c r="U174" s="278">
        <v>100</v>
      </c>
    </row>
    <row r="175" spans="1:209" s="283" customFormat="1" ht="78.75" x14ac:dyDescent="0.3">
      <c r="A175" s="551">
        <v>16</v>
      </c>
      <c r="B175" s="372" t="s">
        <v>1193</v>
      </c>
      <c r="C175" s="149">
        <f t="shared" si="38"/>
        <v>4526.25</v>
      </c>
      <c r="D175" s="150">
        <v>0</v>
      </c>
      <c r="E175" s="150">
        <v>0</v>
      </c>
      <c r="F175" s="127">
        <f>F176+F178</f>
        <v>4526.25</v>
      </c>
      <c r="G175" s="149">
        <v>0</v>
      </c>
      <c r="H175" s="149">
        <v>0</v>
      </c>
      <c r="I175" s="149">
        <f t="shared" si="39"/>
        <v>3468.59</v>
      </c>
      <c r="J175" s="149">
        <v>0</v>
      </c>
      <c r="K175" s="149">
        <v>0</v>
      </c>
      <c r="L175" s="127">
        <f>L176+L178</f>
        <v>3468.59</v>
      </c>
      <c r="M175" s="149">
        <v>0</v>
      </c>
      <c r="N175" s="149">
        <v>0</v>
      </c>
      <c r="O175" s="149">
        <f t="shared" si="37"/>
        <v>3466.9666299999999</v>
      </c>
      <c r="P175" s="149">
        <v>0</v>
      </c>
      <c r="Q175" s="149">
        <v>0</v>
      </c>
      <c r="R175" s="127">
        <f>R176+R178</f>
        <v>3466.9666299999999</v>
      </c>
      <c r="S175" s="150">
        <v>0</v>
      </c>
      <c r="T175" s="150">
        <v>0</v>
      </c>
      <c r="U175" s="413">
        <f>I175/4*3</f>
        <v>2601.4425000000001</v>
      </c>
      <c r="V175" s="735">
        <f>O175/I175*100</f>
        <v>99.95319798534851</v>
      </c>
      <c r="W175" s="734"/>
      <c r="X175" s="739"/>
      <c r="Y175" s="736"/>
      <c r="Z175" s="736"/>
      <c r="AA175" s="734"/>
      <c r="AB175" s="734"/>
      <c r="AC175" s="734"/>
      <c r="AD175" s="734"/>
      <c r="AE175" s="734"/>
      <c r="AF175" s="734"/>
      <c r="AG175" s="734"/>
      <c r="AH175" s="734"/>
      <c r="AI175" s="734"/>
      <c r="AJ175" s="734"/>
      <c r="AK175" s="734"/>
      <c r="AL175" s="734"/>
      <c r="AM175" s="734"/>
      <c r="AN175" s="734"/>
      <c r="AO175" s="734"/>
      <c r="AP175" s="734"/>
      <c r="AQ175" s="734"/>
      <c r="AR175" s="734"/>
      <c r="AS175" s="734"/>
      <c r="AT175" s="734"/>
      <c r="AU175" s="734"/>
      <c r="AV175" s="734"/>
      <c r="AW175" s="734"/>
      <c r="AX175" s="734"/>
      <c r="AY175" s="734"/>
      <c r="AZ175" s="734"/>
      <c r="BA175" s="734"/>
      <c r="BB175" s="734"/>
      <c r="BC175" s="734"/>
      <c r="BD175" s="734"/>
      <c r="BE175" s="734"/>
      <c r="BF175" s="734"/>
      <c r="BG175" s="734"/>
      <c r="BH175" s="734"/>
      <c r="BI175" s="734"/>
      <c r="BJ175" s="734"/>
      <c r="BK175" s="734"/>
      <c r="BL175" s="734"/>
      <c r="BM175" s="734"/>
      <c r="BN175" s="734"/>
      <c r="BO175" s="734"/>
      <c r="BP175" s="734"/>
      <c r="BQ175" s="734"/>
      <c r="BR175" s="734"/>
      <c r="BS175" s="734"/>
      <c r="BT175" s="734"/>
      <c r="BU175" s="734"/>
      <c r="BV175" s="734"/>
      <c r="BW175" s="734"/>
      <c r="BX175" s="734"/>
      <c r="BY175" s="734"/>
      <c r="BZ175" s="734"/>
      <c r="CA175" s="734"/>
      <c r="CB175" s="734"/>
      <c r="CC175" s="734"/>
      <c r="CD175" s="734"/>
      <c r="CE175" s="734"/>
      <c r="CF175" s="734"/>
      <c r="CG175" s="734"/>
      <c r="CH175" s="734"/>
      <c r="CI175" s="734"/>
      <c r="CJ175" s="734"/>
      <c r="CK175" s="734"/>
      <c r="CL175" s="734"/>
      <c r="CM175" s="734"/>
      <c r="CN175" s="734"/>
      <c r="CO175" s="734"/>
      <c r="CP175" s="734"/>
      <c r="CQ175" s="734"/>
      <c r="CR175" s="734"/>
      <c r="CS175" s="734"/>
      <c r="CT175" s="734"/>
      <c r="CU175" s="734"/>
      <c r="CV175" s="734"/>
      <c r="CW175" s="734"/>
      <c r="CX175" s="734"/>
      <c r="CY175" s="734"/>
      <c r="CZ175" s="734"/>
      <c r="DA175" s="734"/>
      <c r="DB175" s="734"/>
      <c r="DC175" s="734"/>
      <c r="DD175" s="734"/>
      <c r="DE175" s="734"/>
      <c r="DF175" s="734"/>
      <c r="DG175" s="734"/>
      <c r="DH175" s="734"/>
      <c r="DI175" s="734"/>
      <c r="DJ175" s="734"/>
      <c r="DK175" s="734"/>
      <c r="DL175" s="734"/>
      <c r="DM175" s="734"/>
      <c r="DN175" s="734"/>
      <c r="DO175" s="734"/>
      <c r="DP175" s="734"/>
      <c r="DQ175" s="734"/>
      <c r="DR175" s="734"/>
      <c r="DS175" s="734"/>
      <c r="DT175" s="734"/>
      <c r="DU175" s="734"/>
      <c r="DV175" s="734"/>
      <c r="DW175" s="734"/>
      <c r="DX175" s="734"/>
      <c r="DY175" s="734"/>
      <c r="DZ175" s="734"/>
      <c r="EA175" s="734"/>
      <c r="EB175" s="734"/>
      <c r="EC175" s="734"/>
      <c r="ED175" s="734"/>
      <c r="EE175" s="734"/>
      <c r="EF175" s="734"/>
      <c r="EG175" s="734"/>
      <c r="EH175" s="734"/>
      <c r="EI175" s="734"/>
      <c r="EJ175" s="734"/>
      <c r="EK175" s="734"/>
      <c r="EL175" s="734"/>
      <c r="EM175" s="734"/>
      <c r="EN175" s="734"/>
      <c r="EO175" s="734"/>
      <c r="EP175" s="734"/>
      <c r="EQ175" s="734"/>
      <c r="ER175" s="734"/>
      <c r="ES175" s="734"/>
      <c r="ET175" s="734"/>
      <c r="EU175" s="734"/>
      <c r="EV175" s="734"/>
      <c r="EW175" s="734"/>
      <c r="EX175" s="734"/>
      <c r="EY175" s="734"/>
      <c r="EZ175" s="734"/>
      <c r="FA175" s="734"/>
      <c r="FB175" s="734"/>
      <c r="FC175" s="734"/>
      <c r="FD175" s="734"/>
      <c r="FE175" s="734"/>
      <c r="FF175" s="734"/>
      <c r="FG175" s="734"/>
      <c r="FH175" s="734"/>
      <c r="FI175" s="734"/>
      <c r="FJ175" s="734"/>
      <c r="FK175" s="734"/>
      <c r="FL175" s="734"/>
      <c r="FM175" s="734"/>
      <c r="FN175" s="734"/>
      <c r="FO175" s="734"/>
      <c r="FP175" s="734"/>
      <c r="FQ175" s="734"/>
      <c r="FR175" s="734"/>
      <c r="FS175" s="734"/>
      <c r="FT175" s="734"/>
      <c r="FU175" s="734"/>
      <c r="FV175" s="734"/>
      <c r="FW175" s="734"/>
      <c r="FX175" s="734"/>
      <c r="FY175" s="734"/>
      <c r="FZ175" s="734"/>
      <c r="GA175" s="734"/>
      <c r="GB175" s="734"/>
      <c r="GC175" s="734"/>
      <c r="GD175" s="734"/>
      <c r="GE175" s="734"/>
      <c r="GF175" s="734"/>
      <c r="GG175" s="734"/>
      <c r="GH175" s="734"/>
      <c r="GI175" s="734"/>
      <c r="GJ175" s="734"/>
      <c r="GK175" s="734"/>
      <c r="GL175" s="734"/>
      <c r="GM175" s="734"/>
      <c r="GN175" s="734"/>
      <c r="GO175" s="734"/>
      <c r="GP175" s="734"/>
      <c r="GQ175" s="734"/>
      <c r="GR175" s="734"/>
      <c r="GS175" s="734"/>
      <c r="GT175" s="734"/>
      <c r="GU175" s="734"/>
      <c r="GV175" s="734"/>
      <c r="GW175" s="734"/>
      <c r="GX175" s="734"/>
      <c r="GY175" s="734"/>
      <c r="GZ175" s="734"/>
      <c r="HA175" s="734"/>
    </row>
    <row r="176" spans="1:209" s="8" customFormat="1" ht="31.5" x14ac:dyDescent="0.25">
      <c r="A176" s="272"/>
      <c r="B176" s="339" t="s">
        <v>499</v>
      </c>
      <c r="C176" s="124">
        <f t="shared" si="38"/>
        <v>3435.35</v>
      </c>
      <c r="D176" s="407"/>
      <c r="E176" s="407"/>
      <c r="F176" s="417">
        <f>F177</f>
        <v>3435.35</v>
      </c>
      <c r="G176" s="441"/>
      <c r="H176" s="441"/>
      <c r="I176" s="124">
        <f t="shared" si="39"/>
        <v>2349.4</v>
      </c>
      <c r="J176" s="441"/>
      <c r="K176" s="441"/>
      <c r="L176" s="438">
        <f>L177</f>
        <v>2349.4</v>
      </c>
      <c r="M176" s="441"/>
      <c r="N176" s="441"/>
      <c r="O176" s="124">
        <f t="shared" si="37"/>
        <v>2347.7766299999998</v>
      </c>
      <c r="P176" s="441"/>
      <c r="Q176" s="441"/>
      <c r="R176" s="417">
        <f>R177</f>
        <v>2347.7766299999998</v>
      </c>
      <c r="S176" s="407"/>
      <c r="T176" s="407"/>
    </row>
    <row r="177" spans="1:209" s="8" customFormat="1" x14ac:dyDescent="0.25">
      <c r="A177" s="272"/>
      <c r="B177" s="324" t="s">
        <v>500</v>
      </c>
      <c r="C177" s="124">
        <f t="shared" si="38"/>
        <v>3435.35</v>
      </c>
      <c r="D177" s="125"/>
      <c r="E177" s="125"/>
      <c r="F177" s="422">
        <v>3435.35</v>
      </c>
      <c r="G177" s="125"/>
      <c r="H177" s="125"/>
      <c r="I177" s="124">
        <f t="shared" si="39"/>
        <v>2349.4</v>
      </c>
      <c r="J177" s="125"/>
      <c r="K177" s="125"/>
      <c r="L177" s="423">
        <v>2349.4</v>
      </c>
      <c r="M177" s="125"/>
      <c r="N177" s="125"/>
      <c r="O177" s="124">
        <f t="shared" si="37"/>
        <v>2347.7766299999998</v>
      </c>
      <c r="P177" s="125"/>
      <c r="Q177" s="125"/>
      <c r="R177" s="422">
        <v>2347.7766299999998</v>
      </c>
      <c r="S177" s="125"/>
      <c r="T177" s="125"/>
    </row>
    <row r="178" spans="1:209" s="8" customFormat="1" ht="63" x14ac:dyDescent="0.25">
      <c r="A178" s="272"/>
      <c r="B178" s="339" t="s">
        <v>501</v>
      </c>
      <c r="C178" s="124">
        <f t="shared" si="38"/>
        <v>1090.9000000000001</v>
      </c>
      <c r="D178" s="125"/>
      <c r="E178" s="125"/>
      <c r="F178" s="417">
        <f>F179</f>
        <v>1090.9000000000001</v>
      </c>
      <c r="G178" s="125"/>
      <c r="H178" s="125"/>
      <c r="I178" s="124">
        <f t="shared" si="39"/>
        <v>1119.19</v>
      </c>
      <c r="J178" s="125"/>
      <c r="K178" s="408"/>
      <c r="L178" s="438">
        <f>L179</f>
        <v>1119.19</v>
      </c>
      <c r="M178" s="125"/>
      <c r="N178" s="125"/>
      <c r="O178" s="124">
        <f t="shared" si="37"/>
        <v>1119.19</v>
      </c>
      <c r="P178" s="125"/>
      <c r="Q178" s="125"/>
      <c r="R178" s="417">
        <f>R179</f>
        <v>1119.19</v>
      </c>
      <c r="S178" s="125"/>
      <c r="T178" s="125"/>
    </row>
    <row r="179" spans="1:209" s="8" customFormat="1" ht="31.5" x14ac:dyDescent="0.25">
      <c r="A179" s="272"/>
      <c r="B179" s="324" t="s">
        <v>502</v>
      </c>
      <c r="C179" s="124">
        <f t="shared" si="38"/>
        <v>1090.9000000000001</v>
      </c>
      <c r="D179" s="125"/>
      <c r="E179" s="125"/>
      <c r="F179" s="422">
        <v>1090.9000000000001</v>
      </c>
      <c r="G179" s="125"/>
      <c r="H179" s="125"/>
      <c r="I179" s="124">
        <f t="shared" si="39"/>
        <v>1119.19</v>
      </c>
      <c r="J179" s="125"/>
      <c r="K179" s="408"/>
      <c r="L179" s="423">
        <v>1119.19</v>
      </c>
      <c r="M179" s="125"/>
      <c r="N179" s="125"/>
      <c r="O179" s="124">
        <f t="shared" si="37"/>
        <v>1119.19</v>
      </c>
      <c r="P179" s="125"/>
      <c r="Q179" s="125"/>
      <c r="R179" s="422">
        <v>1119.19</v>
      </c>
      <c r="S179" s="125"/>
      <c r="T179" s="125"/>
    </row>
    <row r="180" spans="1:209" s="283" customFormat="1" ht="48" x14ac:dyDescent="0.3">
      <c r="A180" s="551">
        <v>17</v>
      </c>
      <c r="B180" s="453" t="s">
        <v>1192</v>
      </c>
      <c r="C180" s="454">
        <f t="shared" ref="C180:T180" si="40">SUM(C181:C183)</f>
        <v>294531.90000000002</v>
      </c>
      <c r="D180" s="454">
        <f t="shared" si="40"/>
        <v>0</v>
      </c>
      <c r="E180" s="454">
        <f t="shared" si="40"/>
        <v>0</v>
      </c>
      <c r="F180" s="454">
        <f t="shared" si="40"/>
        <v>0</v>
      </c>
      <c r="G180" s="454">
        <f t="shared" si="40"/>
        <v>0</v>
      </c>
      <c r="H180" s="454">
        <f t="shared" si="40"/>
        <v>294531.90000000002</v>
      </c>
      <c r="I180" s="454">
        <f t="shared" si="40"/>
        <v>292541.58</v>
      </c>
      <c r="J180" s="454">
        <f t="shared" si="40"/>
        <v>0</v>
      </c>
      <c r="K180" s="454">
        <f t="shared" si="40"/>
        <v>0</v>
      </c>
      <c r="L180" s="454">
        <f t="shared" si="40"/>
        <v>0</v>
      </c>
      <c r="M180" s="454">
        <f t="shared" si="40"/>
        <v>0</v>
      </c>
      <c r="N180" s="454">
        <f t="shared" si="40"/>
        <v>292541.58</v>
      </c>
      <c r="O180" s="454">
        <f t="shared" si="40"/>
        <v>292541.58</v>
      </c>
      <c r="P180" s="454">
        <f t="shared" si="40"/>
        <v>0</v>
      </c>
      <c r="Q180" s="454">
        <f t="shared" si="40"/>
        <v>0</v>
      </c>
      <c r="R180" s="454">
        <f t="shared" si="40"/>
        <v>0</v>
      </c>
      <c r="S180" s="454">
        <f t="shared" si="40"/>
        <v>0</v>
      </c>
      <c r="T180" s="454">
        <f t="shared" si="40"/>
        <v>292541.58</v>
      </c>
      <c r="U180" s="413">
        <f>I180/4*3</f>
        <v>219406.185</v>
      </c>
      <c r="V180" s="735">
        <f>O180/I180*100</f>
        <v>100</v>
      </c>
      <c r="W180" s="734"/>
      <c r="X180" s="739"/>
      <c r="Y180" s="736"/>
      <c r="Z180" s="736"/>
      <c r="AA180" s="734"/>
      <c r="AB180" s="734"/>
      <c r="AC180" s="734"/>
      <c r="AD180" s="734"/>
      <c r="AE180" s="734"/>
      <c r="AF180" s="734"/>
      <c r="AG180" s="734"/>
      <c r="AH180" s="734"/>
      <c r="AI180" s="734"/>
      <c r="AJ180" s="734"/>
      <c r="AK180" s="734"/>
      <c r="AL180" s="734"/>
      <c r="AM180" s="734"/>
      <c r="AN180" s="734"/>
      <c r="AO180" s="734"/>
      <c r="AP180" s="734"/>
      <c r="AQ180" s="734"/>
      <c r="AR180" s="734"/>
      <c r="AS180" s="734"/>
      <c r="AT180" s="734"/>
      <c r="AU180" s="734"/>
      <c r="AV180" s="734"/>
      <c r="AW180" s="734"/>
      <c r="AX180" s="734"/>
      <c r="AY180" s="734"/>
      <c r="AZ180" s="734"/>
      <c r="BA180" s="734"/>
      <c r="BB180" s="734"/>
      <c r="BC180" s="734"/>
      <c r="BD180" s="734"/>
      <c r="BE180" s="734"/>
      <c r="BF180" s="734"/>
      <c r="BG180" s="734"/>
      <c r="BH180" s="734"/>
      <c r="BI180" s="734"/>
      <c r="BJ180" s="734"/>
      <c r="BK180" s="734"/>
      <c r="BL180" s="734"/>
      <c r="BM180" s="734"/>
      <c r="BN180" s="734"/>
      <c r="BO180" s="734"/>
      <c r="BP180" s="734"/>
      <c r="BQ180" s="734"/>
      <c r="BR180" s="734"/>
      <c r="BS180" s="734"/>
      <c r="BT180" s="734"/>
      <c r="BU180" s="734"/>
      <c r="BV180" s="734"/>
      <c r="BW180" s="734"/>
      <c r="BX180" s="734"/>
      <c r="BY180" s="734"/>
      <c r="BZ180" s="734"/>
      <c r="CA180" s="734"/>
      <c r="CB180" s="734"/>
      <c r="CC180" s="734"/>
      <c r="CD180" s="734"/>
      <c r="CE180" s="734"/>
      <c r="CF180" s="734"/>
      <c r="CG180" s="734"/>
      <c r="CH180" s="734"/>
      <c r="CI180" s="734"/>
      <c r="CJ180" s="734"/>
      <c r="CK180" s="734"/>
      <c r="CL180" s="734"/>
      <c r="CM180" s="734"/>
      <c r="CN180" s="734"/>
      <c r="CO180" s="734"/>
      <c r="CP180" s="734"/>
      <c r="CQ180" s="734"/>
      <c r="CR180" s="734"/>
      <c r="CS180" s="734"/>
      <c r="CT180" s="734"/>
      <c r="CU180" s="734"/>
      <c r="CV180" s="734"/>
      <c r="CW180" s="734"/>
      <c r="CX180" s="734"/>
      <c r="CY180" s="734"/>
      <c r="CZ180" s="734"/>
      <c r="DA180" s="734"/>
      <c r="DB180" s="734"/>
      <c r="DC180" s="734"/>
      <c r="DD180" s="734"/>
      <c r="DE180" s="734"/>
      <c r="DF180" s="734"/>
      <c r="DG180" s="734"/>
      <c r="DH180" s="734"/>
      <c r="DI180" s="734"/>
      <c r="DJ180" s="734"/>
      <c r="DK180" s="734"/>
      <c r="DL180" s="734"/>
      <c r="DM180" s="734"/>
      <c r="DN180" s="734"/>
      <c r="DO180" s="734"/>
      <c r="DP180" s="734"/>
      <c r="DQ180" s="734"/>
      <c r="DR180" s="734"/>
      <c r="DS180" s="734"/>
      <c r="DT180" s="734"/>
      <c r="DU180" s="734"/>
      <c r="DV180" s="734"/>
      <c r="DW180" s="734"/>
      <c r="DX180" s="734"/>
      <c r="DY180" s="734"/>
      <c r="DZ180" s="734"/>
      <c r="EA180" s="734"/>
      <c r="EB180" s="734"/>
      <c r="EC180" s="734"/>
      <c r="ED180" s="734"/>
      <c r="EE180" s="734"/>
      <c r="EF180" s="734"/>
      <c r="EG180" s="734"/>
      <c r="EH180" s="734"/>
      <c r="EI180" s="734"/>
      <c r="EJ180" s="734"/>
      <c r="EK180" s="734"/>
      <c r="EL180" s="734"/>
      <c r="EM180" s="734"/>
      <c r="EN180" s="734"/>
      <c r="EO180" s="734"/>
      <c r="EP180" s="734"/>
      <c r="EQ180" s="734"/>
      <c r="ER180" s="734"/>
      <c r="ES180" s="734"/>
      <c r="ET180" s="734"/>
      <c r="EU180" s="734"/>
      <c r="EV180" s="734"/>
      <c r="EW180" s="734"/>
      <c r="EX180" s="734"/>
      <c r="EY180" s="734"/>
      <c r="EZ180" s="734"/>
      <c r="FA180" s="734"/>
      <c r="FB180" s="734"/>
      <c r="FC180" s="734"/>
      <c r="FD180" s="734"/>
      <c r="FE180" s="734"/>
      <c r="FF180" s="734"/>
      <c r="FG180" s="734"/>
      <c r="FH180" s="734"/>
      <c r="FI180" s="734"/>
      <c r="FJ180" s="734"/>
      <c r="FK180" s="734"/>
      <c r="FL180" s="734"/>
      <c r="FM180" s="734"/>
      <c r="FN180" s="734"/>
      <c r="FO180" s="734"/>
      <c r="FP180" s="734"/>
      <c r="FQ180" s="734"/>
      <c r="FR180" s="734"/>
      <c r="FS180" s="734"/>
      <c r="FT180" s="734"/>
      <c r="FU180" s="734"/>
      <c r="FV180" s="734"/>
      <c r="FW180" s="734"/>
      <c r="FX180" s="734"/>
      <c r="FY180" s="734"/>
      <c r="FZ180" s="734"/>
      <c r="GA180" s="734"/>
      <c r="GB180" s="734"/>
      <c r="GC180" s="734"/>
      <c r="GD180" s="734"/>
      <c r="GE180" s="734"/>
      <c r="GF180" s="734"/>
      <c r="GG180" s="734"/>
      <c r="GH180" s="734"/>
      <c r="GI180" s="734"/>
      <c r="GJ180" s="734"/>
      <c r="GK180" s="734"/>
      <c r="GL180" s="734"/>
      <c r="GM180" s="734"/>
      <c r="GN180" s="734"/>
      <c r="GO180" s="734"/>
      <c r="GP180" s="734"/>
      <c r="GQ180" s="734"/>
      <c r="GR180" s="734"/>
      <c r="GS180" s="734"/>
      <c r="GT180" s="734"/>
      <c r="GU180" s="734"/>
      <c r="GV180" s="734"/>
      <c r="GW180" s="734"/>
      <c r="GX180" s="734"/>
      <c r="GY180" s="734"/>
      <c r="GZ180" s="734"/>
      <c r="HA180" s="734"/>
    </row>
    <row r="181" spans="1:209" s="8" customFormat="1" ht="31.5" x14ac:dyDescent="0.25">
      <c r="A181" s="272"/>
      <c r="B181" s="7" t="s">
        <v>503</v>
      </c>
      <c r="C181" s="455">
        <f>SUM(D181:H181)</f>
        <v>279281.90000000002</v>
      </c>
      <c r="D181" s="129"/>
      <c r="E181" s="129"/>
      <c r="F181" s="129"/>
      <c r="G181" s="129"/>
      <c r="H181" s="129">
        <v>279281.90000000002</v>
      </c>
      <c r="I181" s="455">
        <f>SUM(J181:N181)</f>
        <v>172823.94</v>
      </c>
      <c r="J181" s="129"/>
      <c r="K181" s="129"/>
      <c r="L181" s="129"/>
      <c r="M181" s="129"/>
      <c r="N181" s="129">
        <v>172823.94</v>
      </c>
      <c r="O181" s="455">
        <f>SUM(P181:T181)</f>
        <v>172823.94</v>
      </c>
      <c r="P181" s="129"/>
      <c r="Q181" s="129"/>
      <c r="R181" s="129"/>
      <c r="S181" s="129"/>
      <c r="T181" s="129">
        <v>172823.94</v>
      </c>
    </row>
    <row r="182" spans="1:209" s="8" customFormat="1" ht="31.5" x14ac:dyDescent="0.25">
      <c r="A182" s="272"/>
      <c r="B182" s="7" t="s">
        <v>504</v>
      </c>
      <c r="C182" s="455">
        <f>SUM(D182:H182)</f>
        <v>250</v>
      </c>
      <c r="D182" s="125"/>
      <c r="E182" s="125"/>
      <c r="F182" s="129"/>
      <c r="G182" s="129"/>
      <c r="H182" s="129">
        <v>250</v>
      </c>
      <c r="I182" s="455">
        <f>SUM(J182:N182)</f>
        <v>119717.64</v>
      </c>
      <c r="J182" s="125"/>
      <c r="K182" s="125"/>
      <c r="L182" s="129"/>
      <c r="M182" s="129"/>
      <c r="N182" s="129">
        <v>119717.64</v>
      </c>
      <c r="O182" s="455">
        <f>SUM(P182:T182)</f>
        <v>119717.64</v>
      </c>
      <c r="P182" s="125"/>
      <c r="Q182" s="125"/>
      <c r="R182" s="129"/>
      <c r="S182" s="129"/>
      <c r="T182" s="129">
        <v>119717.64</v>
      </c>
    </row>
    <row r="183" spans="1:209" s="8" customFormat="1" ht="31.5" x14ac:dyDescent="0.25">
      <c r="A183" s="272"/>
      <c r="B183" s="7" t="s">
        <v>505</v>
      </c>
      <c r="C183" s="455">
        <f>SUM(D183:H183)</f>
        <v>15000</v>
      </c>
      <c r="D183" s="125"/>
      <c r="E183" s="129"/>
      <c r="F183" s="129"/>
      <c r="G183" s="129"/>
      <c r="H183" s="129">
        <v>15000</v>
      </c>
      <c r="I183" s="456">
        <f>SUM(J183:N183)</f>
        <v>0</v>
      </c>
      <c r="J183" s="125"/>
      <c r="K183" s="129"/>
      <c r="L183" s="129"/>
      <c r="M183" s="129"/>
      <c r="N183" s="129">
        <v>0</v>
      </c>
      <c r="O183" s="456">
        <f>SUM(P183:T183)</f>
        <v>0</v>
      </c>
      <c r="P183" s="125"/>
      <c r="Q183" s="129"/>
      <c r="R183" s="129"/>
      <c r="S183" s="129"/>
      <c r="T183" s="129">
        <v>0</v>
      </c>
    </row>
    <row r="184" spans="1:209" s="8" customFormat="1" ht="31.5" x14ac:dyDescent="0.25">
      <c r="A184" s="272"/>
      <c r="B184" s="7" t="s">
        <v>506</v>
      </c>
      <c r="C184" s="455">
        <f>SUM(D184:H184)</f>
        <v>0</v>
      </c>
      <c r="D184" s="125"/>
      <c r="E184" s="129"/>
      <c r="F184" s="129"/>
      <c r="G184" s="129"/>
      <c r="H184" s="129">
        <v>0</v>
      </c>
      <c r="I184" s="456">
        <f>SUM(J184:N184)</f>
        <v>0</v>
      </c>
      <c r="J184" s="125"/>
      <c r="K184" s="129"/>
      <c r="L184" s="129"/>
      <c r="M184" s="129"/>
      <c r="N184" s="129">
        <v>0</v>
      </c>
      <c r="O184" s="456">
        <f>SUM(P184:T184)</f>
        <v>0</v>
      </c>
      <c r="P184" s="125"/>
      <c r="Q184" s="129"/>
      <c r="R184" s="129"/>
      <c r="S184" s="129"/>
      <c r="T184" s="129">
        <v>0</v>
      </c>
    </row>
    <row r="185" spans="1:209" s="8" customFormat="1" ht="47.25" x14ac:dyDescent="0.25">
      <c r="A185" s="272"/>
      <c r="B185" s="7" t="s">
        <v>507</v>
      </c>
      <c r="C185" s="455">
        <f>SUM(D185:H185)</f>
        <v>30620</v>
      </c>
      <c r="D185" s="125"/>
      <c r="E185" s="129"/>
      <c r="F185" s="129"/>
      <c r="G185" s="129"/>
      <c r="H185" s="129">
        <v>30620</v>
      </c>
      <c r="I185" s="456">
        <f>SUM(J185:N185)</f>
        <v>0</v>
      </c>
      <c r="J185" s="125"/>
      <c r="K185" s="129"/>
      <c r="L185" s="129"/>
      <c r="M185" s="129"/>
      <c r="N185" s="129">
        <v>0</v>
      </c>
      <c r="O185" s="456">
        <f>SUM(P185:T185)</f>
        <v>0</v>
      </c>
      <c r="P185" s="125"/>
      <c r="Q185" s="129"/>
      <c r="R185" s="129"/>
      <c r="S185" s="129"/>
      <c r="T185" s="129">
        <v>0</v>
      </c>
    </row>
    <row r="186" spans="1:209" s="283" customFormat="1" ht="47.25" x14ac:dyDescent="0.3">
      <c r="A186" s="551">
        <v>18</v>
      </c>
      <c r="B186" s="372" t="s">
        <v>1191</v>
      </c>
      <c r="C186" s="457">
        <f>D186+E186+F186+G186+H186</f>
        <v>203235.93</v>
      </c>
      <c r="D186" s="457">
        <f>D187+D194+D197+D200+D205+D210+D215+D230</f>
        <v>0</v>
      </c>
      <c r="E186" s="457">
        <f>E187+E194+E197+E200+E205+E210+E215+E230</f>
        <v>174051.65</v>
      </c>
      <c r="F186" s="457">
        <f>F187+F194+F197+F200+F205+F210+F215+F230</f>
        <v>5000</v>
      </c>
      <c r="G186" s="457">
        <f>G187+G194+G197+G200+G205+G210+G215+G230</f>
        <v>0</v>
      </c>
      <c r="H186" s="457">
        <f>H187+H194+H197+H200+H205+H210+H215+H230</f>
        <v>24184.28</v>
      </c>
      <c r="I186" s="457">
        <f>J186+K186+L186+M186+N186</f>
        <v>229236.4374</v>
      </c>
      <c r="J186" s="457">
        <f>J187+J194+J197+J200+J205+J210+J215+J230</f>
        <v>0</v>
      </c>
      <c r="K186" s="457">
        <f>K187+K194+K197+K200+K205+K210+K215+K230+K234+K208</f>
        <v>191006.69488</v>
      </c>
      <c r="L186" s="457">
        <f>L187+L194+L197+L200+L205+L210+L215+L230+L234+L208</f>
        <v>10591.038130000001</v>
      </c>
      <c r="M186" s="457">
        <f>M187+M194+M197+M200+M205+M210+M215+M230+M234+M208</f>
        <v>445.64888000000002</v>
      </c>
      <c r="N186" s="457">
        <f>N187+N194+N197+N200+N205+N210+N215+N230+N234+N208</f>
        <v>27193.055509999998</v>
      </c>
      <c r="O186" s="457">
        <f>P186+Q186+R186+S186+T186</f>
        <v>227196.83374</v>
      </c>
      <c r="P186" s="457">
        <f>P187+P194+P197+P200+P205+P210+P215+P230</f>
        <v>0</v>
      </c>
      <c r="Q186" s="457">
        <f>Q187+Q194+Q197+Q200+Q205+Q210+Q215+Q230+Q234+Q208</f>
        <v>189017.59122</v>
      </c>
      <c r="R186" s="457">
        <f>R187+R194+R197+R200+R205+R210+R215+R230+R234+R208</f>
        <v>10540.538130000001</v>
      </c>
      <c r="S186" s="457">
        <f>S187+S194+S197+S200+S205+S210+S215+S230+S234+S208</f>
        <v>445.64888000000002</v>
      </c>
      <c r="T186" s="457">
        <f>T187+T194+T197+T200+T205+T210+T215+T230+T234+T208</f>
        <v>27193.055509999998</v>
      </c>
      <c r="U186" s="457">
        <f>U187+U194+U197+U200+U205+U210+U215+U230+U234+U208</f>
        <v>211325.12403999997</v>
      </c>
      <c r="V186" s="735">
        <f>O186/I186*100</f>
        <v>99.110262014567496</v>
      </c>
      <c r="W186" s="734"/>
      <c r="X186" s="739"/>
      <c r="Y186" s="736"/>
      <c r="Z186" s="736"/>
      <c r="AA186" s="734"/>
      <c r="AB186" s="734"/>
      <c r="AC186" s="734"/>
      <c r="AD186" s="734"/>
      <c r="AE186" s="734"/>
      <c r="AF186" s="734"/>
      <c r="AG186" s="734"/>
      <c r="AH186" s="734"/>
      <c r="AI186" s="734"/>
      <c r="AJ186" s="734"/>
      <c r="AK186" s="734"/>
      <c r="AL186" s="734"/>
      <c r="AM186" s="734"/>
      <c r="AN186" s="734"/>
      <c r="AO186" s="734"/>
      <c r="AP186" s="734"/>
      <c r="AQ186" s="734"/>
      <c r="AR186" s="734"/>
      <c r="AS186" s="734"/>
      <c r="AT186" s="734"/>
      <c r="AU186" s="734"/>
      <c r="AV186" s="734"/>
      <c r="AW186" s="734"/>
      <c r="AX186" s="734"/>
      <c r="AY186" s="734"/>
      <c r="AZ186" s="734"/>
      <c r="BA186" s="734"/>
      <c r="BB186" s="734"/>
      <c r="BC186" s="734"/>
      <c r="BD186" s="734"/>
      <c r="BE186" s="734"/>
      <c r="BF186" s="734"/>
      <c r="BG186" s="734"/>
      <c r="BH186" s="734"/>
      <c r="BI186" s="734"/>
      <c r="BJ186" s="734"/>
      <c r="BK186" s="734"/>
      <c r="BL186" s="734"/>
      <c r="BM186" s="734"/>
      <c r="BN186" s="734"/>
      <c r="BO186" s="734"/>
      <c r="BP186" s="734"/>
      <c r="BQ186" s="734"/>
      <c r="BR186" s="734"/>
      <c r="BS186" s="734"/>
      <c r="BT186" s="734"/>
      <c r="BU186" s="734"/>
      <c r="BV186" s="734"/>
      <c r="BW186" s="734"/>
      <c r="BX186" s="734"/>
      <c r="BY186" s="734"/>
      <c r="BZ186" s="734"/>
      <c r="CA186" s="734"/>
      <c r="CB186" s="734"/>
      <c r="CC186" s="734"/>
      <c r="CD186" s="734"/>
      <c r="CE186" s="734"/>
      <c r="CF186" s="734"/>
      <c r="CG186" s="734"/>
      <c r="CH186" s="734"/>
      <c r="CI186" s="734"/>
      <c r="CJ186" s="734"/>
      <c r="CK186" s="734"/>
      <c r="CL186" s="734"/>
      <c r="CM186" s="734"/>
      <c r="CN186" s="734"/>
      <c r="CO186" s="734"/>
      <c r="CP186" s="734"/>
      <c r="CQ186" s="734"/>
      <c r="CR186" s="734"/>
      <c r="CS186" s="734"/>
      <c r="CT186" s="734"/>
      <c r="CU186" s="734"/>
      <c r="CV186" s="734"/>
      <c r="CW186" s="734"/>
      <c r="CX186" s="734"/>
      <c r="CY186" s="734"/>
      <c r="CZ186" s="734"/>
      <c r="DA186" s="734"/>
      <c r="DB186" s="734"/>
      <c r="DC186" s="734"/>
      <c r="DD186" s="734"/>
      <c r="DE186" s="734"/>
      <c r="DF186" s="734"/>
      <c r="DG186" s="734"/>
      <c r="DH186" s="734"/>
      <c r="DI186" s="734"/>
      <c r="DJ186" s="734"/>
      <c r="DK186" s="734"/>
      <c r="DL186" s="734"/>
      <c r="DM186" s="734"/>
      <c r="DN186" s="734"/>
      <c r="DO186" s="734"/>
      <c r="DP186" s="734"/>
      <c r="DQ186" s="734"/>
      <c r="DR186" s="734"/>
      <c r="DS186" s="734"/>
      <c r="DT186" s="734"/>
      <c r="DU186" s="734"/>
      <c r="DV186" s="734"/>
      <c r="DW186" s="734"/>
      <c r="DX186" s="734"/>
      <c r="DY186" s="734"/>
      <c r="DZ186" s="734"/>
      <c r="EA186" s="734"/>
      <c r="EB186" s="734"/>
      <c r="EC186" s="734"/>
      <c r="ED186" s="734"/>
      <c r="EE186" s="734"/>
      <c r="EF186" s="734"/>
      <c r="EG186" s="734"/>
      <c r="EH186" s="734"/>
      <c r="EI186" s="734"/>
      <c r="EJ186" s="734"/>
      <c r="EK186" s="734"/>
      <c r="EL186" s="734"/>
      <c r="EM186" s="734"/>
      <c r="EN186" s="734"/>
      <c r="EO186" s="734"/>
      <c r="EP186" s="734"/>
      <c r="EQ186" s="734"/>
      <c r="ER186" s="734"/>
      <c r="ES186" s="734"/>
      <c r="ET186" s="734"/>
      <c r="EU186" s="734"/>
      <c r="EV186" s="734"/>
      <c r="EW186" s="734"/>
      <c r="EX186" s="734"/>
      <c r="EY186" s="734"/>
      <c r="EZ186" s="734"/>
      <c r="FA186" s="734"/>
      <c r="FB186" s="734"/>
      <c r="FC186" s="734"/>
      <c r="FD186" s="734"/>
      <c r="FE186" s="734"/>
      <c r="FF186" s="734"/>
      <c r="FG186" s="734"/>
      <c r="FH186" s="734"/>
      <c r="FI186" s="734"/>
      <c r="FJ186" s="734"/>
      <c r="FK186" s="734"/>
      <c r="FL186" s="734"/>
      <c r="FM186" s="734"/>
      <c r="FN186" s="734"/>
      <c r="FO186" s="734"/>
      <c r="FP186" s="734"/>
      <c r="FQ186" s="734"/>
      <c r="FR186" s="734"/>
      <c r="FS186" s="734"/>
      <c r="FT186" s="734"/>
      <c r="FU186" s="734"/>
      <c r="FV186" s="734"/>
      <c r="FW186" s="734"/>
      <c r="FX186" s="734"/>
      <c r="FY186" s="734"/>
      <c r="FZ186" s="734"/>
      <c r="GA186" s="734"/>
      <c r="GB186" s="734"/>
      <c r="GC186" s="734"/>
      <c r="GD186" s="734"/>
      <c r="GE186" s="734"/>
      <c r="GF186" s="734"/>
      <c r="GG186" s="734"/>
      <c r="GH186" s="734"/>
      <c r="GI186" s="734"/>
      <c r="GJ186" s="734"/>
      <c r="GK186" s="734"/>
      <c r="GL186" s="734"/>
      <c r="GM186" s="734"/>
      <c r="GN186" s="734"/>
      <c r="GO186" s="734"/>
      <c r="GP186" s="734"/>
      <c r="GQ186" s="734"/>
      <c r="GR186" s="734"/>
      <c r="GS186" s="734"/>
      <c r="GT186" s="734"/>
      <c r="GU186" s="734"/>
      <c r="GV186" s="734"/>
      <c r="GW186" s="734"/>
      <c r="GX186" s="734"/>
      <c r="GY186" s="734"/>
      <c r="GZ186" s="734"/>
      <c r="HA186" s="734"/>
    </row>
    <row r="187" spans="1:209" s="328" customFormat="1" x14ac:dyDescent="0.25">
      <c r="A187" s="325"/>
      <c r="B187" s="382" t="s">
        <v>508</v>
      </c>
      <c r="C187" s="458">
        <f>SUM(D187:H187)</f>
        <v>185479</v>
      </c>
      <c r="D187" s="459">
        <f>D188</f>
        <v>0</v>
      </c>
      <c r="E187" s="459">
        <f>E188</f>
        <v>160590</v>
      </c>
      <c r="F187" s="459">
        <f>F188</f>
        <v>1800</v>
      </c>
      <c r="G187" s="459">
        <f>G188</f>
        <v>0</v>
      </c>
      <c r="H187" s="459">
        <f>H188</f>
        <v>23089</v>
      </c>
      <c r="I187" s="458">
        <f t="shared" ref="I187:I193" si="41">SUM(J187:N187)</f>
        <v>199141.25306000002</v>
      </c>
      <c r="J187" s="459">
        <f>J188</f>
        <v>0</v>
      </c>
      <c r="K187" s="459">
        <f>K188</f>
        <v>173360.0877</v>
      </c>
      <c r="L187" s="459">
        <f>L188</f>
        <v>2192.16536</v>
      </c>
      <c r="M187" s="459">
        <f>M188</f>
        <v>0</v>
      </c>
      <c r="N187" s="459">
        <f>N188</f>
        <v>23589</v>
      </c>
      <c r="O187" s="458">
        <f>SUM(P187:T187)</f>
        <v>197152.14440000002</v>
      </c>
      <c r="P187" s="459">
        <f t="shared" ref="P187:U187" si="42">P188</f>
        <v>0</v>
      </c>
      <c r="Q187" s="459">
        <f t="shared" si="42"/>
        <v>171370.97904000001</v>
      </c>
      <c r="R187" s="459">
        <f t="shared" si="42"/>
        <v>2192.16536</v>
      </c>
      <c r="S187" s="459">
        <f t="shared" si="42"/>
        <v>0</v>
      </c>
      <c r="T187" s="459">
        <f t="shared" si="42"/>
        <v>23589</v>
      </c>
      <c r="U187" s="459">
        <f t="shared" si="42"/>
        <v>162682.16999999998</v>
      </c>
    </row>
    <row r="188" spans="1:209" s="305" customFormat="1" x14ac:dyDescent="0.25">
      <c r="A188" s="298"/>
      <c r="B188" s="308" t="s">
        <v>509</v>
      </c>
      <c r="C188" s="460">
        <f>SUM(D188:H188)</f>
        <v>185479</v>
      </c>
      <c r="D188" s="461">
        <f>SUM(D189:D190)</f>
        <v>0</v>
      </c>
      <c r="E188" s="461">
        <f>SUM(E189:E193)</f>
        <v>160590</v>
      </c>
      <c r="F188" s="461">
        <f>SUM(F189:F193)</f>
        <v>1800</v>
      </c>
      <c r="G188" s="461">
        <f>SUM(G189:G190)</f>
        <v>0</v>
      </c>
      <c r="H188" s="461">
        <f>SUM(H189:H190)</f>
        <v>23089</v>
      </c>
      <c r="I188" s="462">
        <f t="shared" si="41"/>
        <v>199141.25306000002</v>
      </c>
      <c r="J188" s="461">
        <f>SUM(J189:J190)</f>
        <v>0</v>
      </c>
      <c r="K188" s="461">
        <f>SUM(K189:K193)</f>
        <v>173360.0877</v>
      </c>
      <c r="L188" s="461">
        <f>SUM(L189:L193)</f>
        <v>2192.16536</v>
      </c>
      <c r="M188" s="461">
        <f>SUM(M189:M190)</f>
        <v>0</v>
      </c>
      <c r="N188" s="461">
        <f>SUM(N189:N190)</f>
        <v>23589</v>
      </c>
      <c r="O188" s="462">
        <f t="shared" ref="O188:O193" si="43">SUM(P188:T188)</f>
        <v>197152.14440000002</v>
      </c>
      <c r="P188" s="461">
        <f>SUM(P189:P190)</f>
        <v>0</v>
      </c>
      <c r="Q188" s="461">
        <f>SUM(Q189:Q193)</f>
        <v>171370.97904000001</v>
      </c>
      <c r="R188" s="461">
        <f>SUM(R189:R193)</f>
        <v>2192.16536</v>
      </c>
      <c r="S188" s="461">
        <f>SUM(S189:S190)</f>
        <v>0</v>
      </c>
      <c r="T188" s="461">
        <f>SUM(T189:T190)</f>
        <v>23589</v>
      </c>
      <c r="U188" s="461">
        <f>SUM(U189:U193)</f>
        <v>162682.16999999998</v>
      </c>
    </row>
    <row r="189" spans="1:209" s="8" customFormat="1" ht="31.5" x14ac:dyDescent="0.25">
      <c r="A189" s="272"/>
      <c r="B189" s="306" t="s">
        <v>510</v>
      </c>
      <c r="C189" s="458">
        <f>SUM(D189:H189)</f>
        <v>1200</v>
      </c>
      <c r="D189" s="463"/>
      <c r="E189" s="463"/>
      <c r="F189" s="463">
        <v>1200</v>
      </c>
      <c r="G189" s="463"/>
      <c r="H189" s="463"/>
      <c r="I189" s="464">
        <f t="shared" si="41"/>
        <v>1500</v>
      </c>
      <c r="J189" s="463"/>
      <c r="K189" s="463"/>
      <c r="L189" s="463">
        <v>1500</v>
      </c>
      <c r="M189" s="463"/>
      <c r="N189" s="463"/>
      <c r="O189" s="464">
        <f t="shared" si="43"/>
        <v>1500</v>
      </c>
      <c r="P189" s="463"/>
      <c r="Q189" s="463"/>
      <c r="R189" s="463">
        <v>1500</v>
      </c>
      <c r="S189" s="463"/>
      <c r="T189" s="463"/>
      <c r="U189" s="8">
        <f>1500</f>
        <v>1500</v>
      </c>
    </row>
    <row r="190" spans="1:209" s="8" customFormat="1" ht="31.5" x14ac:dyDescent="0.25">
      <c r="A190" s="272"/>
      <c r="B190" s="306" t="s">
        <v>512</v>
      </c>
      <c r="C190" s="458">
        <f>SUM(D190:H190)</f>
        <v>138534</v>
      </c>
      <c r="D190" s="463"/>
      <c r="E190" s="463">
        <v>115445</v>
      </c>
      <c r="F190" s="463"/>
      <c r="G190" s="463"/>
      <c r="H190" s="463">
        <v>23089</v>
      </c>
      <c r="I190" s="464">
        <f t="shared" si="41"/>
        <v>141534</v>
      </c>
      <c r="J190" s="463"/>
      <c r="K190" s="463">
        <v>117945</v>
      </c>
      <c r="L190" s="463"/>
      <c r="M190" s="463"/>
      <c r="N190" s="463">
        <v>23589</v>
      </c>
      <c r="O190" s="464">
        <f t="shared" si="43"/>
        <v>141534</v>
      </c>
      <c r="P190" s="463"/>
      <c r="Q190" s="463">
        <v>117945</v>
      </c>
      <c r="R190" s="463"/>
      <c r="S190" s="463"/>
      <c r="T190" s="463">
        <v>23589</v>
      </c>
      <c r="U190" s="8">
        <v>115445</v>
      </c>
    </row>
    <row r="191" spans="1:209" s="8" customFormat="1" x14ac:dyDescent="0.25">
      <c r="A191" s="272"/>
      <c r="B191" s="306" t="s">
        <v>524</v>
      </c>
      <c r="C191" s="458">
        <f>SUM(D191:H191)</f>
        <v>600</v>
      </c>
      <c r="D191" s="463"/>
      <c r="E191" s="463"/>
      <c r="F191" s="463">
        <v>600</v>
      </c>
      <c r="G191" s="463"/>
      <c r="H191" s="463"/>
      <c r="I191" s="464">
        <f t="shared" si="41"/>
        <v>692.16535999999996</v>
      </c>
      <c r="J191" s="463"/>
      <c r="K191" s="463"/>
      <c r="L191" s="463">
        <v>692.16535999999996</v>
      </c>
      <c r="M191" s="463">
        <v>0</v>
      </c>
      <c r="N191" s="463"/>
      <c r="O191" s="464">
        <f>SUM(P191:T191)</f>
        <v>692.16535999999996</v>
      </c>
      <c r="P191" s="463"/>
      <c r="Q191" s="463"/>
      <c r="R191" s="463">
        <v>692.16535999999996</v>
      </c>
      <c r="S191" s="463">
        <v>0</v>
      </c>
      <c r="T191" s="463"/>
      <c r="U191" s="8">
        <v>692.17</v>
      </c>
    </row>
    <row r="192" spans="1:209" s="8" customFormat="1" ht="20.25" customHeight="1" x14ac:dyDescent="0.25">
      <c r="A192" s="272"/>
      <c r="B192" s="306" t="s">
        <v>942</v>
      </c>
      <c r="C192" s="458">
        <f t="shared" ref="C192:C193" si="44">SUM(D192:H192)</f>
        <v>45045</v>
      </c>
      <c r="D192" s="463"/>
      <c r="E192" s="463">
        <v>45045</v>
      </c>
      <c r="F192" s="463"/>
      <c r="G192" s="463"/>
      <c r="H192" s="463"/>
      <c r="I192" s="464">
        <f t="shared" si="41"/>
        <v>32165</v>
      </c>
      <c r="J192" s="463"/>
      <c r="K192" s="463">
        <v>32165</v>
      </c>
      <c r="L192" s="463"/>
      <c r="M192" s="463"/>
      <c r="N192" s="463"/>
      <c r="O192" s="464">
        <f>SUM(P192:T192)</f>
        <v>31220</v>
      </c>
      <c r="P192" s="463"/>
      <c r="Q192" s="463">
        <v>31220</v>
      </c>
      <c r="R192" s="463"/>
      <c r="S192" s="463"/>
      <c r="T192" s="463"/>
      <c r="U192" s="8">
        <v>45045</v>
      </c>
    </row>
    <row r="193" spans="1:21" s="8" customFormat="1" ht="31.5" x14ac:dyDescent="0.25">
      <c r="A193" s="272"/>
      <c r="B193" s="306" t="s">
        <v>968</v>
      </c>
      <c r="C193" s="458">
        <f t="shared" si="44"/>
        <v>100</v>
      </c>
      <c r="D193" s="463"/>
      <c r="E193" s="463">
        <v>100</v>
      </c>
      <c r="F193" s="463"/>
      <c r="G193" s="463"/>
      <c r="H193" s="463"/>
      <c r="I193" s="464">
        <f t="shared" si="41"/>
        <v>23250.0877</v>
      </c>
      <c r="J193" s="463"/>
      <c r="K193" s="463">
        <v>23250.0877</v>
      </c>
      <c r="L193" s="463"/>
      <c r="M193" s="463"/>
      <c r="N193" s="463"/>
      <c r="O193" s="464">
        <f t="shared" si="43"/>
        <v>22205.979039999998</v>
      </c>
      <c r="P193" s="463"/>
      <c r="Q193" s="463">
        <v>22205.979039999998</v>
      </c>
      <c r="R193" s="463"/>
      <c r="S193" s="463"/>
      <c r="T193" s="463"/>
    </row>
    <row r="194" spans="1:21" s="328" customFormat="1" x14ac:dyDescent="0.25">
      <c r="A194" s="325"/>
      <c r="B194" s="313" t="s">
        <v>513</v>
      </c>
      <c r="C194" s="458">
        <f>SUM(D194:H194)</f>
        <v>3046.5</v>
      </c>
      <c r="D194" s="459">
        <f>D195</f>
        <v>0</v>
      </c>
      <c r="E194" s="459">
        <f>E195</f>
        <v>3046.5</v>
      </c>
      <c r="F194" s="459">
        <f>F195</f>
        <v>0</v>
      </c>
      <c r="G194" s="459">
        <f>G195</f>
        <v>0</v>
      </c>
      <c r="H194" s="459">
        <f>H195</f>
        <v>0</v>
      </c>
      <c r="I194" s="464">
        <f>J194+K194+L194+M194+N194</f>
        <v>2732</v>
      </c>
      <c r="J194" s="459">
        <f>SUM(J195:J196)</f>
        <v>0</v>
      </c>
      <c r="K194" s="459">
        <f>SUM(K195:K196)</f>
        <v>2470.1475</v>
      </c>
      <c r="L194" s="459">
        <f>SUM(L195:L196)</f>
        <v>261.85250000000002</v>
      </c>
      <c r="M194" s="459">
        <f>SUM(M195:M196)</f>
        <v>0</v>
      </c>
      <c r="N194" s="459">
        <f>SUM(N195:N196)</f>
        <v>0</v>
      </c>
      <c r="O194" s="464">
        <f>P194+Q194+R194+S194+T194</f>
        <v>2732</v>
      </c>
      <c r="P194" s="459">
        <f t="shared" ref="P194:U194" si="45">SUM(P195:P196)</f>
        <v>0</v>
      </c>
      <c r="Q194" s="459">
        <f t="shared" si="45"/>
        <v>2470.1475</v>
      </c>
      <c r="R194" s="459">
        <f t="shared" si="45"/>
        <v>261.85250000000002</v>
      </c>
      <c r="S194" s="459">
        <f t="shared" si="45"/>
        <v>0</v>
      </c>
      <c r="T194" s="459">
        <f t="shared" si="45"/>
        <v>0</v>
      </c>
      <c r="U194" s="459">
        <f t="shared" si="45"/>
        <v>1723.25</v>
      </c>
    </row>
    <row r="195" spans="1:21" s="8" customFormat="1" x14ac:dyDescent="0.25">
      <c r="A195" s="272"/>
      <c r="B195" s="306" t="s">
        <v>514</v>
      </c>
      <c r="C195" s="458">
        <f>SUM(D195:H195)</f>
        <v>3046.5</v>
      </c>
      <c r="D195" s="463"/>
      <c r="E195" s="463">
        <v>3046.5</v>
      </c>
      <c r="F195" s="463"/>
      <c r="G195" s="463"/>
      <c r="H195" s="463"/>
      <c r="I195" s="464">
        <f>SUM(J195:N195)</f>
        <v>2532</v>
      </c>
      <c r="J195" s="463"/>
      <c r="K195" s="463">
        <v>2470.1475</v>
      </c>
      <c r="L195" s="463">
        <v>61.852499999999999</v>
      </c>
      <c r="M195" s="463"/>
      <c r="N195" s="463"/>
      <c r="O195" s="464">
        <f>SUM(P195:T195)</f>
        <v>2532</v>
      </c>
      <c r="P195" s="463"/>
      <c r="Q195" s="463">
        <v>2470.1475</v>
      </c>
      <c r="R195" s="463">
        <v>61.852499999999999</v>
      </c>
      <c r="S195" s="463"/>
      <c r="T195" s="463"/>
      <c r="U195" s="8">
        <v>1523.25</v>
      </c>
    </row>
    <row r="196" spans="1:21" s="8" customFormat="1" x14ac:dyDescent="0.25">
      <c r="A196" s="272"/>
      <c r="B196" s="306" t="s">
        <v>839</v>
      </c>
      <c r="C196" s="458"/>
      <c r="D196" s="463"/>
      <c r="E196" s="463"/>
      <c r="F196" s="463"/>
      <c r="G196" s="463"/>
      <c r="H196" s="463"/>
      <c r="I196" s="464">
        <f>SUM(J196:N196)</f>
        <v>200</v>
      </c>
      <c r="J196" s="463"/>
      <c r="K196" s="463"/>
      <c r="L196" s="463">
        <v>200</v>
      </c>
      <c r="M196" s="463"/>
      <c r="N196" s="463"/>
      <c r="O196" s="464">
        <f>SUM(P196:T196)</f>
        <v>200</v>
      </c>
      <c r="P196" s="463"/>
      <c r="Q196" s="463"/>
      <c r="R196" s="463">
        <v>200</v>
      </c>
      <c r="S196" s="463"/>
      <c r="T196" s="463"/>
      <c r="U196" s="8">
        <v>200</v>
      </c>
    </row>
    <row r="197" spans="1:21" s="328" customFormat="1" x14ac:dyDescent="0.25">
      <c r="A197" s="325"/>
      <c r="B197" s="382" t="s">
        <v>221</v>
      </c>
      <c r="C197" s="460">
        <f t="shared" ref="C197:C204" si="46">SUM(D197:H197)</f>
        <v>485.68000000000006</v>
      </c>
      <c r="D197" s="459">
        <f>SUM(D198:D199)</f>
        <v>0</v>
      </c>
      <c r="E197" s="459">
        <f>SUM(E198:E199)</f>
        <v>485.68000000000006</v>
      </c>
      <c r="F197" s="459">
        <f>SUM(F198:F199)</f>
        <v>0</v>
      </c>
      <c r="G197" s="459">
        <f>SUM(G198:G199)</f>
        <v>0</v>
      </c>
      <c r="H197" s="459">
        <f>SUM(H198:H199)</f>
        <v>0</v>
      </c>
      <c r="I197" s="464">
        <f>SUM(J197:N197)</f>
        <v>279.02499999999998</v>
      </c>
      <c r="J197" s="459">
        <f>SUM(J198:J199)</f>
        <v>0</v>
      </c>
      <c r="K197" s="459">
        <f>SUM(K198:K199)</f>
        <v>279.02499999999998</v>
      </c>
      <c r="L197" s="459">
        <f>SUM(L198:L199)</f>
        <v>0</v>
      </c>
      <c r="M197" s="459">
        <f>SUM(M198:M199)</f>
        <v>0</v>
      </c>
      <c r="N197" s="459">
        <f>SUM(N198:N199)</f>
        <v>0</v>
      </c>
      <c r="O197" s="464">
        <f>SUM(P197:T197)</f>
        <v>279.02999999999997</v>
      </c>
      <c r="P197" s="459">
        <f>SUM(P198:P199)</f>
        <v>0</v>
      </c>
      <c r="Q197" s="459">
        <f>SUM(Q198:Q199)</f>
        <v>279.02999999999997</v>
      </c>
      <c r="R197" s="459">
        <f>SUM(R198:R199)</f>
        <v>0</v>
      </c>
      <c r="S197" s="459">
        <f>SUM(S198:S199)</f>
        <v>0</v>
      </c>
      <c r="T197" s="459">
        <f>SUM(T198:T199)</f>
        <v>0</v>
      </c>
      <c r="U197" s="328">
        <v>485.68</v>
      </c>
    </row>
    <row r="198" spans="1:21" s="8" customFormat="1" x14ac:dyDescent="0.25">
      <c r="A198" s="272"/>
      <c r="B198" s="306" t="s">
        <v>516</v>
      </c>
      <c r="C198" s="458">
        <f>SUM(D198:H198)</f>
        <v>356.41</v>
      </c>
      <c r="D198" s="463"/>
      <c r="E198" s="463">
        <v>356.41</v>
      </c>
      <c r="F198" s="463"/>
      <c r="G198" s="463"/>
      <c r="H198" s="463">
        <v>0</v>
      </c>
      <c r="I198" s="464">
        <f>SUM(J198:N198)</f>
        <v>209.655</v>
      </c>
      <c r="J198" s="463"/>
      <c r="K198" s="463">
        <v>209.655</v>
      </c>
      <c r="L198" s="463"/>
      <c r="M198" s="463"/>
      <c r="N198" s="463">
        <v>0</v>
      </c>
      <c r="O198" s="464">
        <f>SUM(P198:T198)</f>
        <v>209.66</v>
      </c>
      <c r="P198" s="463"/>
      <c r="Q198" s="463">
        <v>209.66</v>
      </c>
      <c r="R198" s="463"/>
      <c r="S198" s="463"/>
      <c r="T198" s="463">
        <v>0</v>
      </c>
    </row>
    <row r="199" spans="1:21" s="8" customFormat="1" ht="31.5" x14ac:dyDescent="0.25">
      <c r="A199" s="272"/>
      <c r="B199" s="306" t="s">
        <v>517</v>
      </c>
      <c r="C199" s="458">
        <f>SUM(D199:H199)</f>
        <v>129.27000000000001</v>
      </c>
      <c r="D199" s="463"/>
      <c r="E199" s="463">
        <v>129.27000000000001</v>
      </c>
      <c r="F199" s="463">
        <v>0</v>
      </c>
      <c r="G199" s="463"/>
      <c r="H199" s="463"/>
      <c r="I199" s="464">
        <f>SUM(J199:N199)</f>
        <v>69.37</v>
      </c>
      <c r="J199" s="463"/>
      <c r="K199" s="463">
        <v>69.37</v>
      </c>
      <c r="L199" s="463">
        <v>0</v>
      </c>
      <c r="M199" s="463">
        <v>0</v>
      </c>
      <c r="N199" s="463">
        <v>0</v>
      </c>
      <c r="O199" s="464">
        <f>SUM(P199:T199)</f>
        <v>69.37</v>
      </c>
      <c r="P199" s="463"/>
      <c r="Q199" s="463">
        <v>69.37</v>
      </c>
      <c r="R199" s="463">
        <v>0</v>
      </c>
      <c r="S199" s="463">
        <v>0</v>
      </c>
      <c r="T199" s="463">
        <v>0</v>
      </c>
    </row>
    <row r="200" spans="1:21" s="328" customFormat="1" x14ac:dyDescent="0.25">
      <c r="A200" s="325"/>
      <c r="B200" s="313" t="s">
        <v>518</v>
      </c>
      <c r="C200" s="458">
        <f>SUM(D200:H200)</f>
        <v>0</v>
      </c>
      <c r="D200" s="459">
        <f>D201+D202+D203+D204</f>
        <v>0</v>
      </c>
      <c r="E200" s="459">
        <f>E201+E202</f>
        <v>0</v>
      </c>
      <c r="F200" s="459">
        <f>F201+F202+F203+F204</f>
        <v>0</v>
      </c>
      <c r="G200" s="459">
        <f>G201+G202+G203+G204</f>
        <v>0</v>
      </c>
      <c r="H200" s="459">
        <f>H201+H202+H203+H204</f>
        <v>0</v>
      </c>
      <c r="I200" s="464">
        <f>J200+K200+L200+M200+N200</f>
        <v>1959.65</v>
      </c>
      <c r="J200" s="459">
        <f t="shared" ref="J200:T200" si="47">J201+J202+J203+J204</f>
        <v>0</v>
      </c>
      <c r="K200" s="459">
        <f>K201+K202+K203+K204</f>
        <v>688.47</v>
      </c>
      <c r="L200" s="459">
        <f t="shared" si="47"/>
        <v>500</v>
      </c>
      <c r="M200" s="459">
        <f t="shared" si="47"/>
        <v>0</v>
      </c>
      <c r="N200" s="459">
        <f t="shared" si="47"/>
        <v>771.18</v>
      </c>
      <c r="O200" s="464">
        <f t="shared" si="47"/>
        <v>1959.65</v>
      </c>
      <c r="P200" s="459">
        <f t="shared" si="47"/>
        <v>0</v>
      </c>
      <c r="Q200" s="459">
        <f>Q201+Q202+Q203+Q204</f>
        <v>688.47</v>
      </c>
      <c r="R200" s="459">
        <f t="shared" si="47"/>
        <v>500</v>
      </c>
      <c r="S200" s="459">
        <f t="shared" si="47"/>
        <v>0</v>
      </c>
      <c r="T200" s="459">
        <f t="shared" si="47"/>
        <v>771.18</v>
      </c>
      <c r="U200" s="459">
        <f>U201+U202+U203+U204</f>
        <v>1188.47</v>
      </c>
    </row>
    <row r="201" spans="1:21" s="8" customFormat="1" x14ac:dyDescent="0.25">
      <c r="A201" s="272"/>
      <c r="B201" s="306" t="s">
        <v>519</v>
      </c>
      <c r="C201" s="458">
        <f t="shared" si="46"/>
        <v>0</v>
      </c>
      <c r="D201" s="463">
        <v>0</v>
      </c>
      <c r="E201" s="463"/>
      <c r="F201" s="463"/>
      <c r="G201" s="463">
        <v>0</v>
      </c>
      <c r="H201" s="463"/>
      <c r="I201" s="464">
        <f t="shared" ref="I201:I209" si="48">SUM(J201:N201)</f>
        <v>0</v>
      </c>
      <c r="J201" s="463">
        <f>J202</f>
        <v>0</v>
      </c>
      <c r="K201" s="463"/>
      <c r="L201" s="463"/>
      <c r="M201" s="463"/>
      <c r="N201" s="463"/>
      <c r="O201" s="464">
        <f>SUM(P201:T201)</f>
        <v>0</v>
      </c>
      <c r="P201" s="463"/>
      <c r="Q201" s="463"/>
      <c r="R201" s="463"/>
      <c r="S201" s="463"/>
      <c r="T201" s="463"/>
    </row>
    <row r="202" spans="1:21" s="8" customFormat="1" ht="31.5" x14ac:dyDescent="0.25">
      <c r="A202" s="272"/>
      <c r="B202" s="306" t="s">
        <v>520</v>
      </c>
      <c r="C202" s="458">
        <f t="shared" si="46"/>
        <v>0</v>
      </c>
      <c r="D202" s="463"/>
      <c r="E202" s="463"/>
      <c r="F202" s="463"/>
      <c r="G202" s="463"/>
      <c r="H202" s="463"/>
      <c r="I202" s="464">
        <f t="shared" si="48"/>
        <v>0</v>
      </c>
      <c r="J202" s="463"/>
      <c r="K202" s="463"/>
      <c r="L202" s="463"/>
      <c r="M202" s="463"/>
      <c r="N202" s="463"/>
      <c r="O202" s="464">
        <f>SUM(P202:T202)</f>
        <v>0</v>
      </c>
      <c r="P202" s="463"/>
      <c r="Q202" s="463"/>
      <c r="R202" s="463"/>
      <c r="S202" s="463"/>
      <c r="T202" s="463"/>
    </row>
    <row r="203" spans="1:21" s="8" customFormat="1" ht="31.5" x14ac:dyDescent="0.25">
      <c r="A203" s="272"/>
      <c r="B203" s="306" t="s">
        <v>521</v>
      </c>
      <c r="C203" s="458">
        <f t="shared" si="46"/>
        <v>0</v>
      </c>
      <c r="D203" s="463"/>
      <c r="E203" s="463"/>
      <c r="F203" s="463"/>
      <c r="G203" s="463"/>
      <c r="H203" s="463"/>
      <c r="I203" s="464">
        <f t="shared" si="48"/>
        <v>0</v>
      </c>
      <c r="J203" s="463"/>
      <c r="K203" s="463"/>
      <c r="L203" s="463"/>
      <c r="M203" s="463"/>
      <c r="N203" s="463"/>
      <c r="O203" s="464">
        <f t="shared" ref="O203:O204" si="49">SUM(P203:T203)</f>
        <v>0</v>
      </c>
      <c r="P203" s="463"/>
      <c r="Q203" s="463"/>
      <c r="R203" s="463"/>
      <c r="S203" s="463"/>
      <c r="T203" s="463"/>
    </row>
    <row r="204" spans="1:21" s="8" customFormat="1" ht="47.25" x14ac:dyDescent="0.25">
      <c r="A204" s="272"/>
      <c r="B204" s="306" t="s">
        <v>522</v>
      </c>
      <c r="C204" s="458">
        <f t="shared" si="46"/>
        <v>0</v>
      </c>
      <c r="D204" s="463"/>
      <c r="E204" s="463"/>
      <c r="F204" s="463"/>
      <c r="G204" s="463"/>
      <c r="H204" s="463"/>
      <c r="I204" s="464">
        <f t="shared" si="48"/>
        <v>1959.65</v>
      </c>
      <c r="J204" s="463"/>
      <c r="K204" s="463">
        <v>688.47</v>
      </c>
      <c r="L204" s="463">
        <v>500</v>
      </c>
      <c r="M204" s="463"/>
      <c r="N204" s="463">
        <v>771.18</v>
      </c>
      <c r="O204" s="464">
        <f t="shared" si="49"/>
        <v>1959.65</v>
      </c>
      <c r="P204" s="463"/>
      <c r="Q204" s="463">
        <v>688.47</v>
      </c>
      <c r="R204" s="463">
        <v>500</v>
      </c>
      <c r="S204" s="463"/>
      <c r="T204" s="463">
        <v>771.18</v>
      </c>
      <c r="U204" s="465">
        <f>K204+L204</f>
        <v>1188.47</v>
      </c>
    </row>
    <row r="205" spans="1:21" s="328" customFormat="1" ht="31.5" x14ac:dyDescent="0.25">
      <c r="A205" s="325"/>
      <c r="B205" s="382" t="s">
        <v>239</v>
      </c>
      <c r="C205" s="460">
        <f t="shared" ref="C205:C215" si="50">SUM(D205:H205)</f>
        <v>1880</v>
      </c>
      <c r="D205" s="459">
        <f>SUM(D206:D207)</f>
        <v>0</v>
      </c>
      <c r="E205" s="459">
        <f>SUM(E206:E207)</f>
        <v>0</v>
      </c>
      <c r="F205" s="459">
        <f>SUM(F206:F207)</f>
        <v>1080</v>
      </c>
      <c r="G205" s="459">
        <f>SUM(G206:G207)</f>
        <v>0</v>
      </c>
      <c r="H205" s="459">
        <f>SUM(H206:H207)</f>
        <v>800</v>
      </c>
      <c r="I205" s="460">
        <f t="shared" si="48"/>
        <v>1795</v>
      </c>
      <c r="J205" s="459">
        <f>SUM(J206:J207)</f>
        <v>0</v>
      </c>
      <c r="K205" s="459">
        <f>SUM(K206:K207)</f>
        <v>0</v>
      </c>
      <c r="L205" s="459">
        <f>SUM(L206:L207)</f>
        <v>1040</v>
      </c>
      <c r="M205" s="459">
        <f>SUM(M206:M207)</f>
        <v>0</v>
      </c>
      <c r="N205" s="459">
        <f>SUM(N206:N207)</f>
        <v>755</v>
      </c>
      <c r="O205" s="460">
        <f>SUM(P205:T205)</f>
        <v>1795</v>
      </c>
      <c r="P205" s="459">
        <f t="shared" ref="P205:U205" si="51">SUM(P206:P207)</f>
        <v>0</v>
      </c>
      <c r="Q205" s="459">
        <f t="shared" si="51"/>
        <v>0</v>
      </c>
      <c r="R205" s="459">
        <f t="shared" si="51"/>
        <v>1040</v>
      </c>
      <c r="S205" s="459">
        <f t="shared" si="51"/>
        <v>0</v>
      </c>
      <c r="T205" s="459">
        <f t="shared" si="51"/>
        <v>755</v>
      </c>
      <c r="U205" s="459">
        <f t="shared" si="51"/>
        <v>1080</v>
      </c>
    </row>
    <row r="206" spans="1:21" s="8" customFormat="1" ht="31.5" x14ac:dyDescent="0.25">
      <c r="A206" s="272"/>
      <c r="B206" s="306" t="s">
        <v>828</v>
      </c>
      <c r="C206" s="458">
        <f t="shared" si="50"/>
        <v>1710</v>
      </c>
      <c r="D206" s="463"/>
      <c r="E206" s="463"/>
      <c r="F206" s="463">
        <v>1000</v>
      </c>
      <c r="G206" s="463"/>
      <c r="H206" s="463">
        <v>710</v>
      </c>
      <c r="I206" s="458">
        <f t="shared" si="48"/>
        <v>1710</v>
      </c>
      <c r="J206" s="463"/>
      <c r="K206" s="463"/>
      <c r="L206" s="463">
        <v>1000</v>
      </c>
      <c r="M206" s="463"/>
      <c r="N206" s="463">
        <v>710</v>
      </c>
      <c r="O206" s="458">
        <f>SUM(P206:T206)</f>
        <v>1710</v>
      </c>
      <c r="P206" s="463"/>
      <c r="Q206" s="463"/>
      <c r="R206" s="463">
        <v>1000</v>
      </c>
      <c r="S206" s="463"/>
      <c r="T206" s="463">
        <v>710</v>
      </c>
      <c r="U206" s="8">
        <v>1000</v>
      </c>
    </row>
    <row r="207" spans="1:21" s="8" customFormat="1" ht="31.5" x14ac:dyDescent="0.25">
      <c r="A207" s="272"/>
      <c r="B207" s="306" t="s">
        <v>515</v>
      </c>
      <c r="C207" s="458">
        <f t="shared" si="50"/>
        <v>170</v>
      </c>
      <c r="D207" s="463"/>
      <c r="E207" s="463">
        <v>0</v>
      </c>
      <c r="F207" s="463">
        <v>80</v>
      </c>
      <c r="G207" s="463"/>
      <c r="H207" s="463">
        <v>90</v>
      </c>
      <c r="I207" s="464">
        <f t="shared" si="48"/>
        <v>85</v>
      </c>
      <c r="J207" s="463">
        <v>0</v>
      </c>
      <c r="K207" s="463"/>
      <c r="L207" s="463">
        <v>40</v>
      </c>
      <c r="M207" s="463">
        <v>0</v>
      </c>
      <c r="N207" s="463">
        <v>45</v>
      </c>
      <c r="O207" s="464">
        <f>SUM(P207:T207)</f>
        <v>85</v>
      </c>
      <c r="P207" s="463">
        <v>0</v>
      </c>
      <c r="Q207" s="463">
        <v>0</v>
      </c>
      <c r="R207" s="463">
        <v>40</v>
      </c>
      <c r="S207" s="463">
        <v>0</v>
      </c>
      <c r="T207" s="463">
        <v>45</v>
      </c>
      <c r="U207" s="8">
        <v>80</v>
      </c>
    </row>
    <row r="208" spans="1:21" s="328" customFormat="1" ht="63" x14ac:dyDescent="0.25">
      <c r="A208" s="325"/>
      <c r="B208" s="382" t="s">
        <v>523</v>
      </c>
      <c r="C208" s="458">
        <f t="shared" si="50"/>
        <v>0</v>
      </c>
      <c r="D208" s="459">
        <f>D209</f>
        <v>0</v>
      </c>
      <c r="E208" s="459">
        <f>E209</f>
        <v>0</v>
      </c>
      <c r="F208" s="459">
        <f>F209</f>
        <v>0</v>
      </c>
      <c r="G208" s="459">
        <f>G209</f>
        <v>0</v>
      </c>
      <c r="H208" s="459">
        <f>H209</f>
        <v>0</v>
      </c>
      <c r="I208" s="458">
        <f t="shared" si="48"/>
        <v>6981.18</v>
      </c>
      <c r="J208" s="459">
        <f>J209</f>
        <v>0</v>
      </c>
      <c r="K208" s="459">
        <f>K209</f>
        <v>3603.89</v>
      </c>
      <c r="L208" s="459">
        <f>L209</f>
        <v>3377.29</v>
      </c>
      <c r="M208" s="459">
        <f>M209</f>
        <v>0</v>
      </c>
      <c r="N208" s="459">
        <f>N209</f>
        <v>0</v>
      </c>
      <c r="O208" s="458">
        <f>SUM(P208:T208)</f>
        <v>6981.18</v>
      </c>
      <c r="P208" s="459">
        <f t="shared" ref="P208:U208" si="52">P209</f>
        <v>0</v>
      </c>
      <c r="Q208" s="459">
        <f t="shared" si="52"/>
        <v>3603.89</v>
      </c>
      <c r="R208" s="459">
        <f t="shared" si="52"/>
        <v>3377.29</v>
      </c>
      <c r="S208" s="459">
        <f t="shared" si="52"/>
        <v>0</v>
      </c>
      <c r="T208" s="459">
        <f t="shared" si="52"/>
        <v>0</v>
      </c>
      <c r="U208" s="459">
        <f t="shared" si="52"/>
        <v>6981.18</v>
      </c>
    </row>
    <row r="209" spans="1:21" s="8" customFormat="1" x14ac:dyDescent="0.25">
      <c r="A209" s="272"/>
      <c r="B209" s="306" t="s">
        <v>836</v>
      </c>
      <c r="C209" s="458">
        <f t="shared" si="50"/>
        <v>0</v>
      </c>
      <c r="D209" s="463"/>
      <c r="E209" s="463"/>
      <c r="F209" s="463"/>
      <c r="G209" s="463"/>
      <c r="H209" s="463"/>
      <c r="I209" s="458">
        <f t="shared" si="48"/>
        <v>6981.18</v>
      </c>
      <c r="J209" s="463"/>
      <c r="K209" s="463">
        <v>3603.89</v>
      </c>
      <c r="L209" s="463">
        <v>3377.29</v>
      </c>
      <c r="M209" s="463"/>
      <c r="N209" s="463"/>
      <c r="O209" s="458">
        <f>SUM(P209:T209)</f>
        <v>6981.18</v>
      </c>
      <c r="P209" s="463"/>
      <c r="Q209" s="463">
        <v>3603.89</v>
      </c>
      <c r="R209" s="463">
        <v>3377.29</v>
      </c>
      <c r="S209" s="463"/>
      <c r="T209" s="463"/>
      <c r="U209" s="465">
        <f>K209+3377.29</f>
        <v>6981.18</v>
      </c>
    </row>
    <row r="210" spans="1:21" s="328" customFormat="1" x14ac:dyDescent="0.25">
      <c r="A210" s="325"/>
      <c r="B210" s="313" t="s">
        <v>525</v>
      </c>
      <c r="C210" s="458">
        <f t="shared" si="50"/>
        <v>1145.28</v>
      </c>
      <c r="D210" s="459">
        <f>D211+D213</f>
        <v>0</v>
      </c>
      <c r="E210" s="459">
        <f>E211+E213</f>
        <v>0</v>
      </c>
      <c r="F210" s="459">
        <f>F211+F213</f>
        <v>850</v>
      </c>
      <c r="G210" s="459">
        <f>G211+G213</f>
        <v>0</v>
      </c>
      <c r="H210" s="459">
        <f>H211+H213</f>
        <v>295.27999999999997</v>
      </c>
      <c r="I210" s="462">
        <f t="shared" ref="I210:I215" si="53">SUM(J210:N210)</f>
        <v>1155.28</v>
      </c>
      <c r="J210" s="459">
        <f>J211+J213</f>
        <v>0</v>
      </c>
      <c r="K210" s="459">
        <f>K211+K213</f>
        <v>0</v>
      </c>
      <c r="L210" s="459">
        <f>L211+L213</f>
        <v>860</v>
      </c>
      <c r="M210" s="459">
        <f>M211+M213</f>
        <v>0</v>
      </c>
      <c r="N210" s="459">
        <f>N211+N213</f>
        <v>295.27999999999997</v>
      </c>
      <c r="O210" s="462">
        <f t="shared" ref="O210:O215" si="54">SUM(P210:T210)</f>
        <v>1155.28</v>
      </c>
      <c r="P210" s="459">
        <f t="shared" ref="P210:U210" si="55">P211+P213</f>
        <v>0</v>
      </c>
      <c r="Q210" s="459">
        <f t="shared" si="55"/>
        <v>0</v>
      </c>
      <c r="R210" s="459">
        <f t="shared" si="55"/>
        <v>860</v>
      </c>
      <c r="S210" s="459">
        <f t="shared" si="55"/>
        <v>0</v>
      </c>
      <c r="T210" s="459">
        <f t="shared" si="55"/>
        <v>295.27999999999997</v>
      </c>
      <c r="U210" s="459">
        <f t="shared" si="55"/>
        <v>750</v>
      </c>
    </row>
    <row r="211" spans="1:21" s="8" customFormat="1" x14ac:dyDescent="0.25">
      <c r="A211" s="272"/>
      <c r="B211" s="308" t="s">
        <v>526</v>
      </c>
      <c r="C211" s="458">
        <f t="shared" si="50"/>
        <v>795.28</v>
      </c>
      <c r="D211" s="463">
        <f>D212</f>
        <v>0</v>
      </c>
      <c r="E211" s="463">
        <f>E212</f>
        <v>0</v>
      </c>
      <c r="F211" s="463">
        <f>F212</f>
        <v>500</v>
      </c>
      <c r="G211" s="463">
        <f>G212</f>
        <v>0</v>
      </c>
      <c r="H211" s="463">
        <f>H212</f>
        <v>295.27999999999997</v>
      </c>
      <c r="I211" s="464">
        <f t="shared" si="53"/>
        <v>795.28</v>
      </c>
      <c r="J211" s="463">
        <f>J212</f>
        <v>0</v>
      </c>
      <c r="K211" s="463">
        <f>K212</f>
        <v>0</v>
      </c>
      <c r="L211" s="463">
        <f>L212</f>
        <v>500</v>
      </c>
      <c r="M211" s="463">
        <f>M212</f>
        <v>0</v>
      </c>
      <c r="N211" s="463">
        <f>N212</f>
        <v>295.27999999999997</v>
      </c>
      <c r="O211" s="464">
        <f t="shared" si="54"/>
        <v>795.28</v>
      </c>
      <c r="P211" s="463">
        <f>P212</f>
        <v>0</v>
      </c>
      <c r="Q211" s="463">
        <f>Q212</f>
        <v>0</v>
      </c>
      <c r="R211" s="463">
        <f>R212</f>
        <v>500</v>
      </c>
      <c r="S211" s="463">
        <f>S212</f>
        <v>0</v>
      </c>
      <c r="T211" s="463">
        <f>T212</f>
        <v>295.27999999999997</v>
      </c>
      <c r="U211" s="8">
        <v>500</v>
      </c>
    </row>
    <row r="212" spans="1:21" s="8" customFormat="1" ht="31.5" x14ac:dyDescent="0.25">
      <c r="A212" s="272"/>
      <c r="B212" s="306" t="s">
        <v>527</v>
      </c>
      <c r="C212" s="458">
        <f t="shared" si="50"/>
        <v>795.28</v>
      </c>
      <c r="D212" s="463"/>
      <c r="E212" s="463"/>
      <c r="F212" s="463">
        <v>500</v>
      </c>
      <c r="G212" s="463"/>
      <c r="H212" s="463">
        <v>295.27999999999997</v>
      </c>
      <c r="I212" s="464">
        <f t="shared" si="53"/>
        <v>795.28</v>
      </c>
      <c r="J212" s="463"/>
      <c r="K212" s="463"/>
      <c r="L212" s="463">
        <v>500</v>
      </c>
      <c r="M212" s="463"/>
      <c r="N212" s="463">
        <v>295.27999999999997</v>
      </c>
      <c r="O212" s="464">
        <f t="shared" si="54"/>
        <v>795.28</v>
      </c>
      <c r="P212" s="463"/>
      <c r="Q212" s="463"/>
      <c r="R212" s="463">
        <v>500</v>
      </c>
      <c r="S212" s="463"/>
      <c r="T212" s="463">
        <v>295.27999999999997</v>
      </c>
    </row>
    <row r="213" spans="1:21" s="8" customFormat="1" x14ac:dyDescent="0.25">
      <c r="A213" s="272"/>
      <c r="B213" s="308" t="s">
        <v>528</v>
      </c>
      <c r="C213" s="458">
        <f t="shared" si="50"/>
        <v>350</v>
      </c>
      <c r="D213" s="463">
        <f>D214</f>
        <v>0</v>
      </c>
      <c r="E213" s="463">
        <f>E214</f>
        <v>0</v>
      </c>
      <c r="F213" s="463">
        <f>F214</f>
        <v>350</v>
      </c>
      <c r="G213" s="463">
        <f>G214</f>
        <v>0</v>
      </c>
      <c r="H213" s="463">
        <f>H214</f>
        <v>0</v>
      </c>
      <c r="I213" s="464">
        <f t="shared" si="53"/>
        <v>360</v>
      </c>
      <c r="J213" s="463">
        <f>J214</f>
        <v>0</v>
      </c>
      <c r="K213" s="463">
        <f>K214</f>
        <v>0</v>
      </c>
      <c r="L213" s="463">
        <f>L214</f>
        <v>360</v>
      </c>
      <c r="M213" s="463">
        <f>M214</f>
        <v>0</v>
      </c>
      <c r="N213" s="463">
        <f>N214</f>
        <v>0</v>
      </c>
      <c r="O213" s="464">
        <f t="shared" si="54"/>
        <v>360</v>
      </c>
      <c r="P213" s="463">
        <f>P214</f>
        <v>0</v>
      </c>
      <c r="Q213" s="463">
        <f>Q214</f>
        <v>0</v>
      </c>
      <c r="R213" s="463">
        <f>R214</f>
        <v>360</v>
      </c>
      <c r="S213" s="463">
        <f>S214</f>
        <v>0</v>
      </c>
      <c r="T213" s="463">
        <f>T214</f>
        <v>0</v>
      </c>
      <c r="U213" s="8">
        <v>250</v>
      </c>
    </row>
    <row r="214" spans="1:21" s="8" customFormat="1" ht="31.5" x14ac:dyDescent="0.25">
      <c r="A214" s="272"/>
      <c r="B214" s="306" t="s">
        <v>529</v>
      </c>
      <c r="C214" s="458">
        <f t="shared" si="50"/>
        <v>350</v>
      </c>
      <c r="D214" s="463"/>
      <c r="E214" s="463"/>
      <c r="F214" s="463">
        <v>350</v>
      </c>
      <c r="G214" s="463"/>
      <c r="H214" s="463"/>
      <c r="I214" s="464">
        <f t="shared" si="53"/>
        <v>360</v>
      </c>
      <c r="J214" s="463"/>
      <c r="K214" s="463"/>
      <c r="L214" s="463">
        <v>360</v>
      </c>
      <c r="M214" s="463"/>
      <c r="N214" s="463"/>
      <c r="O214" s="464">
        <f t="shared" si="54"/>
        <v>360</v>
      </c>
      <c r="P214" s="463"/>
      <c r="Q214" s="463">
        <v>0</v>
      </c>
      <c r="R214" s="463">
        <v>360</v>
      </c>
      <c r="S214" s="463"/>
      <c r="T214" s="463"/>
    </row>
    <row r="215" spans="1:21" s="328" customFormat="1" x14ac:dyDescent="0.25">
      <c r="A215" s="325"/>
      <c r="B215" s="313" t="s">
        <v>530</v>
      </c>
      <c r="C215" s="460">
        <f t="shared" si="50"/>
        <v>11007.47</v>
      </c>
      <c r="D215" s="459">
        <f>D216+D219</f>
        <v>0</v>
      </c>
      <c r="E215" s="459">
        <f>E216+E219+E222</f>
        <v>9929.4699999999993</v>
      </c>
      <c r="F215" s="459">
        <f>F216+F219+F221+F223+F227</f>
        <v>1078</v>
      </c>
      <c r="G215" s="459">
        <f>G216+G219</f>
        <v>0</v>
      </c>
      <c r="H215" s="459">
        <f>H216+H219</f>
        <v>0</v>
      </c>
      <c r="I215" s="460">
        <f t="shared" si="53"/>
        <v>11683.07468</v>
      </c>
      <c r="J215" s="459">
        <f>J216+J219</f>
        <v>0</v>
      </c>
      <c r="K215" s="459">
        <f>K216+K219+K222</f>
        <v>10605.07468</v>
      </c>
      <c r="L215" s="459">
        <f>L216+L219+L221+L223+L227</f>
        <v>1078</v>
      </c>
      <c r="M215" s="459">
        <f>M216+M219</f>
        <v>0</v>
      </c>
      <c r="N215" s="459">
        <f>N216+N219</f>
        <v>0</v>
      </c>
      <c r="O215" s="460">
        <f t="shared" si="54"/>
        <v>11632.57468</v>
      </c>
      <c r="P215" s="459">
        <f>P216+P219</f>
        <v>0</v>
      </c>
      <c r="Q215" s="459">
        <f>Q216+Q219+Q222</f>
        <v>10605.07468</v>
      </c>
      <c r="R215" s="459">
        <f>R216+R219+R221+R223+R227</f>
        <v>1027.5</v>
      </c>
      <c r="S215" s="459">
        <f>S216+S219</f>
        <v>0</v>
      </c>
      <c r="T215" s="459">
        <f>T216+T219</f>
        <v>0</v>
      </c>
      <c r="U215" s="328">
        <f>(K215+L215)*3</f>
        <v>35049.224040000001</v>
      </c>
    </row>
    <row r="216" spans="1:21" s="305" customFormat="1" x14ac:dyDescent="0.25">
      <c r="A216" s="298"/>
      <c r="B216" s="387" t="s">
        <v>712</v>
      </c>
      <c r="C216" s="460">
        <f t="shared" ref="C216:C236" si="56">SUM(D216:H216)</f>
        <v>9929.4699999999993</v>
      </c>
      <c r="D216" s="461">
        <f>D218</f>
        <v>0</v>
      </c>
      <c r="E216" s="461">
        <f>E218+E217</f>
        <v>9929.4699999999993</v>
      </c>
      <c r="F216" s="461">
        <f>F218</f>
        <v>0</v>
      </c>
      <c r="G216" s="461">
        <f>G218</f>
        <v>0</v>
      </c>
      <c r="H216" s="461">
        <f>H218</f>
        <v>0</v>
      </c>
      <c r="I216" s="460">
        <f t="shared" ref="I216:I236" si="57">SUM(J216:N216)</f>
        <v>10605.07468</v>
      </c>
      <c r="J216" s="461">
        <f>J218</f>
        <v>0</v>
      </c>
      <c r="K216" s="461">
        <f>K218+K217</f>
        <v>10605.07468</v>
      </c>
      <c r="L216" s="461">
        <f>L218</f>
        <v>0</v>
      </c>
      <c r="M216" s="461">
        <f>M218</f>
        <v>0</v>
      </c>
      <c r="N216" s="461">
        <f>N218</f>
        <v>0</v>
      </c>
      <c r="O216" s="460">
        <f t="shared" ref="O216:O236" si="58">SUM(P216:T216)</f>
        <v>10605.07468</v>
      </c>
      <c r="P216" s="461">
        <f>P218</f>
        <v>0</v>
      </c>
      <c r="Q216" s="461">
        <f>Q218+Q217</f>
        <v>10605.07468</v>
      </c>
      <c r="R216" s="461">
        <f>R218</f>
        <v>0</v>
      </c>
      <c r="S216" s="461">
        <f>S218</f>
        <v>0</v>
      </c>
      <c r="T216" s="461">
        <f>T218</f>
        <v>0</v>
      </c>
    </row>
    <row r="217" spans="1:21" s="8" customFormat="1" ht="31.5" x14ac:dyDescent="0.25">
      <c r="A217" s="272"/>
      <c r="B217" s="290" t="s">
        <v>531</v>
      </c>
      <c r="C217" s="458">
        <f t="shared" si="56"/>
        <v>8889.9699999999993</v>
      </c>
      <c r="D217" s="463"/>
      <c r="E217" s="463">
        <v>8889.9699999999993</v>
      </c>
      <c r="F217" s="463"/>
      <c r="G217" s="463"/>
      <c r="H217" s="463"/>
      <c r="I217" s="458">
        <f t="shared" si="57"/>
        <v>9439.9327799999992</v>
      </c>
      <c r="J217" s="463"/>
      <c r="K217" s="463">
        <v>9439.9327799999992</v>
      </c>
      <c r="L217" s="463"/>
      <c r="M217" s="463"/>
      <c r="N217" s="463"/>
      <c r="O217" s="458">
        <f t="shared" si="58"/>
        <v>9439.9327799999992</v>
      </c>
      <c r="P217" s="463"/>
      <c r="Q217" s="463">
        <v>9439.9327799999992</v>
      </c>
      <c r="R217" s="463"/>
      <c r="S217" s="463"/>
      <c r="T217" s="463"/>
    </row>
    <row r="218" spans="1:21" s="8" customFormat="1" x14ac:dyDescent="0.25">
      <c r="A218" s="272"/>
      <c r="B218" s="290" t="s">
        <v>829</v>
      </c>
      <c r="C218" s="458">
        <f t="shared" si="56"/>
        <v>1039.5</v>
      </c>
      <c r="D218" s="463"/>
      <c r="E218" s="463">
        <v>1039.5</v>
      </c>
      <c r="F218" s="463"/>
      <c r="G218" s="463"/>
      <c r="H218" s="463"/>
      <c r="I218" s="458">
        <f t="shared" si="57"/>
        <v>1165.1419000000001</v>
      </c>
      <c r="J218" s="463"/>
      <c r="K218" s="463">
        <v>1165.1419000000001</v>
      </c>
      <c r="L218" s="463"/>
      <c r="M218" s="463"/>
      <c r="N218" s="463"/>
      <c r="O218" s="458">
        <f t="shared" si="58"/>
        <v>1165.1419000000001</v>
      </c>
      <c r="P218" s="463"/>
      <c r="Q218" s="463">
        <v>1165.1419000000001</v>
      </c>
      <c r="R218" s="463"/>
      <c r="S218" s="463"/>
      <c r="T218" s="463"/>
    </row>
    <row r="219" spans="1:21" s="328" customFormat="1" x14ac:dyDescent="0.25">
      <c r="A219" s="325"/>
      <c r="B219" s="284" t="s">
        <v>533</v>
      </c>
      <c r="C219" s="458">
        <f t="shared" si="56"/>
        <v>698.8</v>
      </c>
      <c r="D219" s="459">
        <f>D220</f>
        <v>0</v>
      </c>
      <c r="E219" s="459">
        <f>E220</f>
        <v>0</v>
      </c>
      <c r="F219" s="459">
        <f>F220</f>
        <v>698.8</v>
      </c>
      <c r="G219" s="459">
        <f>G220</f>
        <v>0</v>
      </c>
      <c r="H219" s="459">
        <f>H220</f>
        <v>0</v>
      </c>
      <c r="I219" s="458">
        <f t="shared" si="57"/>
        <v>698.8</v>
      </c>
      <c r="J219" s="459">
        <f>J220</f>
        <v>0</v>
      </c>
      <c r="K219" s="459">
        <f>K220</f>
        <v>0</v>
      </c>
      <c r="L219" s="459">
        <f>L220</f>
        <v>698.8</v>
      </c>
      <c r="M219" s="459">
        <f>M220</f>
        <v>0</v>
      </c>
      <c r="N219" s="459">
        <f>N220</f>
        <v>0</v>
      </c>
      <c r="O219" s="458">
        <f t="shared" si="58"/>
        <v>648.29999999999995</v>
      </c>
      <c r="P219" s="459">
        <f>P220</f>
        <v>0</v>
      </c>
      <c r="Q219" s="459">
        <f>Q220</f>
        <v>0</v>
      </c>
      <c r="R219" s="459">
        <f>R220</f>
        <v>648.29999999999995</v>
      </c>
      <c r="S219" s="459">
        <f>S220</f>
        <v>0</v>
      </c>
      <c r="T219" s="459">
        <f>T220</f>
        <v>0</v>
      </c>
    </row>
    <row r="220" spans="1:21" s="8" customFormat="1" ht="31.5" x14ac:dyDescent="0.25">
      <c r="A220" s="272"/>
      <c r="B220" s="290" t="s">
        <v>531</v>
      </c>
      <c r="C220" s="458">
        <f t="shared" si="56"/>
        <v>698.8</v>
      </c>
      <c r="D220" s="463"/>
      <c r="E220" s="463"/>
      <c r="F220" s="463">
        <v>698.8</v>
      </c>
      <c r="G220" s="463"/>
      <c r="H220" s="463"/>
      <c r="I220" s="458">
        <f t="shared" si="57"/>
        <v>698.8</v>
      </c>
      <c r="J220" s="463"/>
      <c r="K220" s="463"/>
      <c r="L220" s="463">
        <v>698.8</v>
      </c>
      <c r="M220" s="463"/>
      <c r="N220" s="463"/>
      <c r="O220" s="458">
        <f t="shared" si="58"/>
        <v>648.29999999999995</v>
      </c>
      <c r="P220" s="463"/>
      <c r="Q220" s="463"/>
      <c r="R220" s="463">
        <v>648.29999999999995</v>
      </c>
      <c r="S220" s="463"/>
      <c r="T220" s="463"/>
    </row>
    <row r="221" spans="1:21" s="305" customFormat="1" ht="31.5" x14ac:dyDescent="0.25">
      <c r="A221" s="298"/>
      <c r="B221" s="387" t="s">
        <v>830</v>
      </c>
      <c r="C221" s="458">
        <f t="shared" si="56"/>
        <v>52.19</v>
      </c>
      <c r="D221" s="461"/>
      <c r="E221" s="461"/>
      <c r="F221" s="461">
        <f>F222</f>
        <v>52.19</v>
      </c>
      <c r="G221" s="461"/>
      <c r="H221" s="461"/>
      <c r="I221" s="460">
        <f>SUM(J221:N221)</f>
        <v>51</v>
      </c>
      <c r="J221" s="461"/>
      <c r="K221" s="461"/>
      <c r="L221" s="461">
        <f>L222</f>
        <v>51</v>
      </c>
      <c r="M221" s="461"/>
      <c r="N221" s="461"/>
      <c r="O221" s="458">
        <f t="shared" si="58"/>
        <v>51</v>
      </c>
      <c r="P221" s="461"/>
      <c r="Q221" s="466"/>
      <c r="R221" s="461">
        <f>R222</f>
        <v>51</v>
      </c>
      <c r="S221" s="461"/>
      <c r="T221" s="461"/>
    </row>
    <row r="222" spans="1:21" s="8" customFormat="1" x14ac:dyDescent="0.25">
      <c r="A222" s="272"/>
      <c r="B222" s="290" t="s">
        <v>831</v>
      </c>
      <c r="C222" s="458">
        <f t="shared" si="56"/>
        <v>52.19</v>
      </c>
      <c r="D222" s="463"/>
      <c r="E222" s="463"/>
      <c r="F222" s="463">
        <v>52.19</v>
      </c>
      <c r="G222" s="463"/>
      <c r="H222" s="463"/>
      <c r="I222" s="458">
        <f t="shared" si="57"/>
        <v>51</v>
      </c>
      <c r="J222" s="463"/>
      <c r="K222" s="463"/>
      <c r="L222" s="463">
        <v>51</v>
      </c>
      <c r="M222" s="463"/>
      <c r="N222" s="463"/>
      <c r="O222" s="458">
        <f t="shared" si="58"/>
        <v>51</v>
      </c>
      <c r="P222" s="463"/>
      <c r="Q222" s="467"/>
      <c r="R222" s="463">
        <v>51</v>
      </c>
      <c r="S222" s="463"/>
      <c r="T222" s="463"/>
    </row>
    <row r="223" spans="1:21" s="305" customFormat="1" x14ac:dyDescent="0.25">
      <c r="A223" s="298"/>
      <c r="B223" s="387" t="s">
        <v>535</v>
      </c>
      <c r="C223" s="458">
        <f t="shared" si="56"/>
        <v>285</v>
      </c>
      <c r="D223" s="461"/>
      <c r="E223" s="461"/>
      <c r="F223" s="461">
        <f>SUM(F224:F226)</f>
        <v>285</v>
      </c>
      <c r="G223" s="461"/>
      <c r="H223" s="461"/>
      <c r="I223" s="458">
        <f t="shared" si="57"/>
        <v>290.72500000000002</v>
      </c>
      <c r="J223" s="461"/>
      <c r="K223" s="461"/>
      <c r="L223" s="461">
        <f>SUM(L224:L226)</f>
        <v>290.72500000000002</v>
      </c>
      <c r="M223" s="461"/>
      <c r="N223" s="461"/>
      <c r="O223" s="458">
        <f t="shared" si="58"/>
        <v>290.72500000000002</v>
      </c>
      <c r="P223" s="461"/>
      <c r="Q223" s="466"/>
      <c r="R223" s="461">
        <f>SUM(R224:R226)</f>
        <v>290.72500000000002</v>
      </c>
      <c r="S223" s="461"/>
      <c r="T223" s="461"/>
    </row>
    <row r="224" spans="1:21" s="8" customFormat="1" x14ac:dyDescent="0.25">
      <c r="A224" s="272"/>
      <c r="B224" s="290" t="s">
        <v>837</v>
      </c>
      <c r="C224" s="458">
        <f t="shared" si="56"/>
        <v>25</v>
      </c>
      <c r="D224" s="463"/>
      <c r="E224" s="463"/>
      <c r="F224" s="463">
        <v>25</v>
      </c>
      <c r="G224" s="463"/>
      <c r="H224" s="463"/>
      <c r="I224" s="458">
        <f t="shared" si="57"/>
        <v>0</v>
      </c>
      <c r="J224" s="463"/>
      <c r="K224" s="463"/>
      <c r="L224" s="463">
        <v>0</v>
      </c>
      <c r="M224" s="463"/>
      <c r="N224" s="463"/>
      <c r="O224" s="458">
        <f t="shared" si="58"/>
        <v>0</v>
      </c>
      <c r="P224" s="463"/>
      <c r="Q224" s="467"/>
      <c r="R224" s="463"/>
      <c r="S224" s="463"/>
      <c r="T224" s="463"/>
    </row>
    <row r="225" spans="1:209" s="8" customFormat="1" x14ac:dyDescent="0.25">
      <c r="A225" s="272"/>
      <c r="B225" s="290" t="s">
        <v>838</v>
      </c>
      <c r="C225" s="458">
        <f t="shared" si="56"/>
        <v>250</v>
      </c>
      <c r="D225" s="463"/>
      <c r="E225" s="463"/>
      <c r="F225" s="463">
        <v>250</v>
      </c>
      <c r="G225" s="463"/>
      <c r="H225" s="463"/>
      <c r="I225" s="458">
        <f t="shared" si="57"/>
        <v>290.72500000000002</v>
      </c>
      <c r="J225" s="463"/>
      <c r="K225" s="463"/>
      <c r="L225" s="463">
        <v>290.72500000000002</v>
      </c>
      <c r="M225" s="463"/>
      <c r="N225" s="463"/>
      <c r="O225" s="458">
        <f t="shared" si="58"/>
        <v>290.72500000000002</v>
      </c>
      <c r="P225" s="463"/>
      <c r="Q225" s="467"/>
      <c r="R225" s="463">
        <v>290.72500000000002</v>
      </c>
      <c r="S225" s="463"/>
      <c r="T225" s="463"/>
    </row>
    <row r="226" spans="1:209" s="8" customFormat="1" x14ac:dyDescent="0.25">
      <c r="A226" s="272"/>
      <c r="B226" s="290" t="s">
        <v>832</v>
      </c>
      <c r="C226" s="458">
        <f t="shared" si="56"/>
        <v>10</v>
      </c>
      <c r="D226" s="463"/>
      <c r="E226" s="463"/>
      <c r="F226" s="463">
        <v>10</v>
      </c>
      <c r="G226" s="463"/>
      <c r="H226" s="463"/>
      <c r="I226" s="458">
        <f t="shared" si="57"/>
        <v>0</v>
      </c>
      <c r="J226" s="463"/>
      <c r="K226" s="463"/>
      <c r="L226" s="463">
        <v>0</v>
      </c>
      <c r="M226" s="463"/>
      <c r="N226" s="463"/>
      <c r="O226" s="458">
        <f t="shared" si="58"/>
        <v>0</v>
      </c>
      <c r="P226" s="463"/>
      <c r="Q226" s="467"/>
      <c r="R226" s="463"/>
      <c r="S226" s="463"/>
      <c r="T226" s="463"/>
    </row>
    <row r="227" spans="1:209" s="305" customFormat="1" x14ac:dyDescent="0.25">
      <c r="A227" s="298"/>
      <c r="B227" s="387" t="s">
        <v>538</v>
      </c>
      <c r="C227" s="458">
        <f t="shared" si="56"/>
        <v>42.010000000000005</v>
      </c>
      <c r="D227" s="461"/>
      <c r="E227" s="461"/>
      <c r="F227" s="461">
        <f>SUM(F228:F229)</f>
        <v>42.010000000000005</v>
      </c>
      <c r="G227" s="461"/>
      <c r="H227" s="461"/>
      <c r="I227" s="458">
        <f t="shared" si="57"/>
        <v>37.475000000000001</v>
      </c>
      <c r="J227" s="461"/>
      <c r="K227" s="461"/>
      <c r="L227" s="461">
        <f>L228+L229</f>
        <v>37.475000000000001</v>
      </c>
      <c r="M227" s="461"/>
      <c r="N227" s="461"/>
      <c r="O227" s="458">
        <f t="shared" si="58"/>
        <v>37.475000000000001</v>
      </c>
      <c r="P227" s="461"/>
      <c r="Q227" s="468"/>
      <c r="R227" s="461">
        <f>R228+R229</f>
        <v>37.475000000000001</v>
      </c>
      <c r="S227" s="461"/>
      <c r="T227" s="461"/>
    </row>
    <row r="228" spans="1:209" s="8" customFormat="1" x14ac:dyDescent="0.25">
      <c r="A228" s="272"/>
      <c r="B228" s="290" t="s">
        <v>833</v>
      </c>
      <c r="C228" s="458">
        <f t="shared" si="56"/>
        <v>34.700000000000003</v>
      </c>
      <c r="D228" s="463"/>
      <c r="E228" s="463"/>
      <c r="F228" s="463">
        <v>34.700000000000003</v>
      </c>
      <c r="G228" s="463"/>
      <c r="H228" s="463"/>
      <c r="I228" s="458">
        <f t="shared" si="57"/>
        <v>12.475</v>
      </c>
      <c r="J228" s="463"/>
      <c r="K228" s="463"/>
      <c r="L228" s="463">
        <v>12.475</v>
      </c>
      <c r="M228" s="463"/>
      <c r="N228" s="463"/>
      <c r="O228" s="458">
        <f t="shared" si="58"/>
        <v>12.475</v>
      </c>
      <c r="P228" s="463"/>
      <c r="Q228" s="467"/>
      <c r="R228" s="463">
        <v>12.475</v>
      </c>
      <c r="S228" s="463"/>
      <c r="T228" s="463"/>
    </row>
    <row r="229" spans="1:209" s="8" customFormat="1" x14ac:dyDescent="0.25">
      <c r="A229" s="272"/>
      <c r="B229" s="290" t="s">
        <v>834</v>
      </c>
      <c r="C229" s="458">
        <f t="shared" si="56"/>
        <v>7.31</v>
      </c>
      <c r="D229" s="463"/>
      <c r="E229" s="463"/>
      <c r="F229" s="463">
        <v>7.31</v>
      </c>
      <c r="G229" s="463"/>
      <c r="H229" s="463"/>
      <c r="I229" s="458">
        <f t="shared" si="57"/>
        <v>25</v>
      </c>
      <c r="J229" s="463"/>
      <c r="K229" s="463"/>
      <c r="L229" s="463">
        <v>25</v>
      </c>
      <c r="M229" s="463"/>
      <c r="N229" s="463"/>
      <c r="O229" s="458">
        <f t="shared" si="58"/>
        <v>25</v>
      </c>
      <c r="P229" s="463"/>
      <c r="Q229" s="467"/>
      <c r="R229" s="463">
        <v>25</v>
      </c>
      <c r="S229" s="463"/>
      <c r="T229" s="463"/>
    </row>
    <row r="230" spans="1:209" s="328" customFormat="1" x14ac:dyDescent="0.25">
      <c r="A230" s="325"/>
      <c r="B230" s="284" t="s">
        <v>532</v>
      </c>
      <c r="C230" s="458">
        <f t="shared" si="56"/>
        <v>192</v>
      </c>
      <c r="D230" s="459"/>
      <c r="E230" s="459"/>
      <c r="F230" s="459">
        <f>SUM(F231:F233)</f>
        <v>192</v>
      </c>
      <c r="G230" s="459"/>
      <c r="H230" s="459"/>
      <c r="I230" s="458">
        <f t="shared" si="57"/>
        <v>67.982140000000001</v>
      </c>
      <c r="J230" s="459">
        <f>SUM(J231:J233)</f>
        <v>0</v>
      </c>
      <c r="K230" s="459">
        <f>SUM(K231:K233)</f>
        <v>0</v>
      </c>
      <c r="L230" s="459">
        <f>SUM(L231:L233)</f>
        <v>67.982140000000001</v>
      </c>
      <c r="M230" s="459">
        <f>SUM(M231:M233)</f>
        <v>0</v>
      </c>
      <c r="N230" s="459">
        <f>SUM(N231:N233)</f>
        <v>0</v>
      </c>
      <c r="O230" s="458">
        <f t="shared" si="58"/>
        <v>67.982140000000001</v>
      </c>
      <c r="P230" s="459">
        <f t="shared" ref="P230:U230" si="59">SUM(P231:P233)</f>
        <v>0</v>
      </c>
      <c r="Q230" s="459">
        <f t="shared" si="59"/>
        <v>0</v>
      </c>
      <c r="R230" s="459">
        <f t="shared" si="59"/>
        <v>67.982140000000001</v>
      </c>
      <c r="S230" s="459">
        <f t="shared" si="59"/>
        <v>0</v>
      </c>
      <c r="T230" s="459">
        <f t="shared" si="59"/>
        <v>0</v>
      </c>
      <c r="U230" s="459">
        <f t="shared" si="59"/>
        <v>30</v>
      </c>
    </row>
    <row r="231" spans="1:209" s="305" customFormat="1" x14ac:dyDescent="0.25">
      <c r="A231" s="298"/>
      <c r="B231" s="290" t="s">
        <v>955</v>
      </c>
      <c r="C231" s="458">
        <f t="shared" si="56"/>
        <v>80</v>
      </c>
      <c r="D231" s="461"/>
      <c r="E231" s="461"/>
      <c r="F231" s="461">
        <v>80</v>
      </c>
      <c r="G231" s="461"/>
      <c r="H231" s="461"/>
      <c r="I231" s="458">
        <f t="shared" si="57"/>
        <v>0</v>
      </c>
      <c r="J231" s="461"/>
      <c r="K231" s="461"/>
      <c r="L231" s="461">
        <v>0</v>
      </c>
      <c r="M231" s="461"/>
      <c r="N231" s="461"/>
      <c r="O231" s="458">
        <f t="shared" si="58"/>
        <v>0</v>
      </c>
      <c r="P231" s="461"/>
      <c r="Q231" s="468"/>
      <c r="R231" s="461">
        <v>0</v>
      </c>
      <c r="S231" s="461"/>
      <c r="T231" s="461"/>
      <c r="U231" s="305">
        <v>10</v>
      </c>
    </row>
    <row r="232" spans="1:209" s="305" customFormat="1" x14ac:dyDescent="0.25">
      <c r="A232" s="298"/>
      <c r="B232" s="290" t="s">
        <v>954</v>
      </c>
      <c r="C232" s="458">
        <f t="shared" si="56"/>
        <v>62</v>
      </c>
      <c r="D232" s="461"/>
      <c r="E232" s="461"/>
      <c r="F232" s="461">
        <v>62</v>
      </c>
      <c r="G232" s="461"/>
      <c r="H232" s="461"/>
      <c r="I232" s="458">
        <f t="shared" si="57"/>
        <v>47.982140000000001</v>
      </c>
      <c r="J232" s="461"/>
      <c r="K232" s="461"/>
      <c r="L232" s="461">
        <v>47.982140000000001</v>
      </c>
      <c r="M232" s="461"/>
      <c r="N232" s="461"/>
      <c r="O232" s="458">
        <f t="shared" si="58"/>
        <v>47.982140000000001</v>
      </c>
      <c r="P232" s="461"/>
      <c r="Q232" s="468"/>
      <c r="R232" s="461">
        <v>47.982140000000001</v>
      </c>
      <c r="S232" s="461"/>
      <c r="T232" s="461"/>
      <c r="U232" s="305">
        <v>0</v>
      </c>
    </row>
    <row r="233" spans="1:209" s="305" customFormat="1" x14ac:dyDescent="0.25">
      <c r="A233" s="298"/>
      <c r="B233" s="290" t="s">
        <v>835</v>
      </c>
      <c r="C233" s="458">
        <f t="shared" si="56"/>
        <v>50</v>
      </c>
      <c r="D233" s="461"/>
      <c r="E233" s="461"/>
      <c r="F233" s="461">
        <v>50</v>
      </c>
      <c r="G233" s="461"/>
      <c r="H233" s="461"/>
      <c r="I233" s="458">
        <f t="shared" si="57"/>
        <v>20</v>
      </c>
      <c r="J233" s="461"/>
      <c r="K233" s="461"/>
      <c r="L233" s="461">
        <v>20</v>
      </c>
      <c r="M233" s="461"/>
      <c r="N233" s="461"/>
      <c r="O233" s="458">
        <f t="shared" si="58"/>
        <v>20</v>
      </c>
      <c r="P233" s="461"/>
      <c r="Q233" s="468"/>
      <c r="R233" s="461">
        <v>20</v>
      </c>
      <c r="S233" s="461"/>
      <c r="T233" s="461"/>
      <c r="U233" s="305">
        <v>20</v>
      </c>
    </row>
    <row r="234" spans="1:209" s="328" customFormat="1" x14ac:dyDescent="0.25">
      <c r="A234" s="325"/>
      <c r="B234" s="284" t="s">
        <v>840</v>
      </c>
      <c r="C234" s="458">
        <f t="shared" si="56"/>
        <v>0</v>
      </c>
      <c r="D234" s="459"/>
      <c r="E234" s="459"/>
      <c r="F234" s="459"/>
      <c r="G234" s="459"/>
      <c r="H234" s="459"/>
      <c r="I234" s="458">
        <f t="shared" si="57"/>
        <v>3441.9925199999998</v>
      </c>
      <c r="J234" s="459"/>
      <c r="K234" s="459"/>
      <c r="L234" s="459">
        <f>SUM(L235:L236)</f>
        <v>1213.7481299999999</v>
      </c>
      <c r="M234" s="459">
        <f>SUM(M235:M236)</f>
        <v>445.64888000000002</v>
      </c>
      <c r="N234" s="459">
        <f>SUM(N235:N236)</f>
        <v>1782.5955100000001</v>
      </c>
      <c r="O234" s="458">
        <f t="shared" si="58"/>
        <v>3441.9925199999998</v>
      </c>
      <c r="P234" s="459"/>
      <c r="Q234" s="469"/>
      <c r="R234" s="459">
        <f>SUM(R235:R236)</f>
        <v>1213.7481299999999</v>
      </c>
      <c r="S234" s="459">
        <f>SUM(S235:S236)</f>
        <v>445.64888000000002</v>
      </c>
      <c r="T234" s="459">
        <f>SUM(T235:T236)</f>
        <v>1782.5955100000001</v>
      </c>
      <c r="U234" s="328">
        <v>1355.15</v>
      </c>
    </row>
    <row r="235" spans="1:209" s="305" customFormat="1" ht="31.5" x14ac:dyDescent="0.25">
      <c r="A235" s="298"/>
      <c r="B235" s="118" t="s">
        <v>907</v>
      </c>
      <c r="C235" s="458">
        <f t="shared" si="56"/>
        <v>0</v>
      </c>
      <c r="D235" s="461"/>
      <c r="E235" s="461"/>
      <c r="F235" s="461"/>
      <c r="G235" s="461"/>
      <c r="H235" s="461"/>
      <c r="I235" s="458">
        <f t="shared" si="57"/>
        <v>2970.9925199999998</v>
      </c>
      <c r="J235" s="461"/>
      <c r="K235" s="461"/>
      <c r="L235" s="461">
        <v>742.74812999999995</v>
      </c>
      <c r="M235" s="461">
        <v>445.64888000000002</v>
      </c>
      <c r="N235" s="461">
        <v>1782.5955100000001</v>
      </c>
      <c r="O235" s="458">
        <f t="shared" si="58"/>
        <v>2970.9925199999998</v>
      </c>
      <c r="P235" s="461"/>
      <c r="Q235" s="468"/>
      <c r="R235" s="461">
        <v>742.74812999999995</v>
      </c>
      <c r="S235" s="461">
        <v>445.64888000000002</v>
      </c>
      <c r="T235" s="461">
        <v>1782.5955100000001</v>
      </c>
    </row>
    <row r="236" spans="1:209" s="305" customFormat="1" x14ac:dyDescent="0.25">
      <c r="A236" s="298"/>
      <c r="B236" s="118" t="s">
        <v>842</v>
      </c>
      <c r="C236" s="458">
        <f t="shared" si="56"/>
        <v>0</v>
      </c>
      <c r="D236" s="461"/>
      <c r="E236" s="461"/>
      <c r="F236" s="461"/>
      <c r="G236" s="461"/>
      <c r="H236" s="461"/>
      <c r="I236" s="458">
        <f t="shared" si="57"/>
        <v>471</v>
      </c>
      <c r="J236" s="461"/>
      <c r="K236" s="461"/>
      <c r="L236" s="461">
        <v>471</v>
      </c>
      <c r="M236" s="461"/>
      <c r="N236" s="461"/>
      <c r="O236" s="458">
        <f t="shared" si="58"/>
        <v>471</v>
      </c>
      <c r="P236" s="461"/>
      <c r="Q236" s="468"/>
      <c r="R236" s="461">
        <v>471</v>
      </c>
      <c r="S236" s="461"/>
      <c r="T236" s="461"/>
    </row>
    <row r="237" spans="1:209" s="283" customFormat="1" ht="47.25" x14ac:dyDescent="0.3">
      <c r="A237" s="551">
        <v>19</v>
      </c>
      <c r="B237" s="372" t="s">
        <v>1190</v>
      </c>
      <c r="C237" s="127">
        <f>SUM(D237:H237)</f>
        <v>1168999.6200000001</v>
      </c>
      <c r="D237" s="127">
        <f>D238+D244+D280+D298+D306+D312</f>
        <v>27154.51</v>
      </c>
      <c r="E237" s="127">
        <f>E238+E244+E280+E298+E306+E312</f>
        <v>658944.80000000005</v>
      </c>
      <c r="F237" s="127">
        <f>F238+F244+F280+F298+F306+F312</f>
        <v>466998.30999999994</v>
      </c>
      <c r="G237" s="127">
        <f>G238+G244+G280+G298+G306+G312</f>
        <v>0</v>
      </c>
      <c r="H237" s="127">
        <f>H238+H244+H280+H298+H306+H312</f>
        <v>15902</v>
      </c>
      <c r="I237" s="127">
        <f>SUM(J237:N237)</f>
        <v>1465378.9775599998</v>
      </c>
      <c r="J237" s="127">
        <f>J238+J244+J280+J298+J306+J312</f>
        <v>49141.43965</v>
      </c>
      <c r="K237" s="127">
        <f>K238+K244+K280+K298+K306+K312</f>
        <v>856668.03261999995</v>
      </c>
      <c r="L237" s="127">
        <f>L238+L244+L280+L298+L306+L312</f>
        <v>542653.30528999993</v>
      </c>
      <c r="M237" s="127">
        <f>M238+M244+M280+M298+M306+M312</f>
        <v>0</v>
      </c>
      <c r="N237" s="127">
        <f>N238+N244+N280+N298+N306+N312</f>
        <v>16916.2</v>
      </c>
      <c r="O237" s="127">
        <f t="shared" ref="O237:O312" si="60">SUM(P237:T237)</f>
        <v>1461117.7527099999</v>
      </c>
      <c r="P237" s="127">
        <f>P238+P244+P280+P298+P306+P312</f>
        <v>49141.436650000003</v>
      </c>
      <c r="Q237" s="127">
        <f>Q238+Q244+Q280+Q298+Q306+Q312</f>
        <v>856244.16234000004</v>
      </c>
      <c r="R237" s="127">
        <f>R238+R244+R280+R298+R306+R312</f>
        <v>538815.95371999999</v>
      </c>
      <c r="S237" s="127">
        <f>S238+S244+S280+S298+S306+S312</f>
        <v>0</v>
      </c>
      <c r="T237" s="127">
        <f>T238+T244+T280+T298+T306+T312</f>
        <v>16916.2</v>
      </c>
      <c r="U237" s="413">
        <f>I237/4*3</f>
        <v>1099034.2331699999</v>
      </c>
      <c r="V237" s="735">
        <f>O237/I237*100</f>
        <v>99.709206634239067</v>
      </c>
      <c r="W237" s="734"/>
      <c r="X237" s="739"/>
      <c r="Y237" s="736"/>
      <c r="Z237" s="736"/>
      <c r="AA237" s="734"/>
      <c r="AB237" s="734"/>
      <c r="AC237" s="734"/>
      <c r="AD237" s="734"/>
      <c r="AE237" s="734"/>
      <c r="AF237" s="734"/>
      <c r="AG237" s="734"/>
      <c r="AH237" s="734"/>
      <c r="AI237" s="734"/>
      <c r="AJ237" s="734"/>
      <c r="AK237" s="734"/>
      <c r="AL237" s="734"/>
      <c r="AM237" s="734"/>
      <c r="AN237" s="734"/>
      <c r="AO237" s="734"/>
      <c r="AP237" s="734"/>
      <c r="AQ237" s="734"/>
      <c r="AR237" s="734"/>
      <c r="AS237" s="734"/>
      <c r="AT237" s="734"/>
      <c r="AU237" s="734"/>
      <c r="AV237" s="734"/>
      <c r="AW237" s="734"/>
      <c r="AX237" s="734"/>
      <c r="AY237" s="734"/>
      <c r="AZ237" s="734"/>
      <c r="BA237" s="734"/>
      <c r="BB237" s="734"/>
      <c r="BC237" s="734"/>
      <c r="BD237" s="734"/>
      <c r="BE237" s="734"/>
      <c r="BF237" s="734"/>
      <c r="BG237" s="734"/>
      <c r="BH237" s="734"/>
      <c r="BI237" s="734"/>
      <c r="BJ237" s="734"/>
      <c r="BK237" s="734"/>
      <c r="BL237" s="734"/>
      <c r="BM237" s="734"/>
      <c r="BN237" s="734"/>
      <c r="BO237" s="734"/>
      <c r="BP237" s="734"/>
      <c r="BQ237" s="734"/>
      <c r="BR237" s="734"/>
      <c r="BS237" s="734"/>
      <c r="BT237" s="734"/>
      <c r="BU237" s="734"/>
      <c r="BV237" s="734"/>
      <c r="BW237" s="734"/>
      <c r="BX237" s="734"/>
      <c r="BY237" s="734"/>
      <c r="BZ237" s="734"/>
      <c r="CA237" s="734"/>
      <c r="CB237" s="734"/>
      <c r="CC237" s="734"/>
      <c r="CD237" s="734"/>
      <c r="CE237" s="734"/>
      <c r="CF237" s="734"/>
      <c r="CG237" s="734"/>
      <c r="CH237" s="734"/>
      <c r="CI237" s="734"/>
      <c r="CJ237" s="734"/>
      <c r="CK237" s="734"/>
      <c r="CL237" s="734"/>
      <c r="CM237" s="734"/>
      <c r="CN237" s="734"/>
      <c r="CO237" s="734"/>
      <c r="CP237" s="734"/>
      <c r="CQ237" s="734"/>
      <c r="CR237" s="734"/>
      <c r="CS237" s="734"/>
      <c r="CT237" s="734"/>
      <c r="CU237" s="734"/>
      <c r="CV237" s="734"/>
      <c r="CW237" s="734"/>
      <c r="CX237" s="734"/>
      <c r="CY237" s="734"/>
      <c r="CZ237" s="734"/>
      <c r="DA237" s="734"/>
      <c r="DB237" s="734"/>
      <c r="DC237" s="734"/>
      <c r="DD237" s="734"/>
      <c r="DE237" s="734"/>
      <c r="DF237" s="734"/>
      <c r="DG237" s="734"/>
      <c r="DH237" s="734"/>
      <c r="DI237" s="734"/>
      <c r="DJ237" s="734"/>
      <c r="DK237" s="734"/>
      <c r="DL237" s="734"/>
      <c r="DM237" s="734"/>
      <c r="DN237" s="734"/>
      <c r="DO237" s="734"/>
      <c r="DP237" s="734"/>
      <c r="DQ237" s="734"/>
      <c r="DR237" s="734"/>
      <c r="DS237" s="734"/>
      <c r="DT237" s="734"/>
      <c r="DU237" s="734"/>
      <c r="DV237" s="734"/>
      <c r="DW237" s="734"/>
      <c r="DX237" s="734"/>
      <c r="DY237" s="734"/>
      <c r="DZ237" s="734"/>
      <c r="EA237" s="734"/>
      <c r="EB237" s="734"/>
      <c r="EC237" s="734"/>
      <c r="ED237" s="734"/>
      <c r="EE237" s="734"/>
      <c r="EF237" s="734"/>
      <c r="EG237" s="734"/>
      <c r="EH237" s="734"/>
      <c r="EI237" s="734"/>
      <c r="EJ237" s="734"/>
      <c r="EK237" s="734"/>
      <c r="EL237" s="734"/>
      <c r="EM237" s="734"/>
      <c r="EN237" s="734"/>
      <c r="EO237" s="734"/>
      <c r="EP237" s="734"/>
      <c r="EQ237" s="734"/>
      <c r="ER237" s="734"/>
      <c r="ES237" s="734"/>
      <c r="ET237" s="734"/>
      <c r="EU237" s="734"/>
      <c r="EV237" s="734"/>
      <c r="EW237" s="734"/>
      <c r="EX237" s="734"/>
      <c r="EY237" s="734"/>
      <c r="EZ237" s="734"/>
      <c r="FA237" s="734"/>
      <c r="FB237" s="734"/>
      <c r="FC237" s="734"/>
      <c r="FD237" s="734"/>
      <c r="FE237" s="734"/>
      <c r="FF237" s="734"/>
      <c r="FG237" s="734"/>
      <c r="FH237" s="734"/>
      <c r="FI237" s="734"/>
      <c r="FJ237" s="734"/>
      <c r="FK237" s="734"/>
      <c r="FL237" s="734"/>
      <c r="FM237" s="734"/>
      <c r="FN237" s="734"/>
      <c r="FO237" s="734"/>
      <c r="FP237" s="734"/>
      <c r="FQ237" s="734"/>
      <c r="FR237" s="734"/>
      <c r="FS237" s="734"/>
      <c r="FT237" s="734"/>
      <c r="FU237" s="734"/>
      <c r="FV237" s="734"/>
      <c r="FW237" s="734"/>
      <c r="FX237" s="734"/>
      <c r="FY237" s="734"/>
      <c r="FZ237" s="734"/>
      <c r="GA237" s="734"/>
      <c r="GB237" s="734"/>
      <c r="GC237" s="734"/>
      <c r="GD237" s="734"/>
      <c r="GE237" s="734"/>
      <c r="GF237" s="734"/>
      <c r="GG237" s="734"/>
      <c r="GH237" s="734"/>
      <c r="GI237" s="734"/>
      <c r="GJ237" s="734"/>
      <c r="GK237" s="734"/>
      <c r="GL237" s="734"/>
      <c r="GM237" s="734"/>
      <c r="GN237" s="734"/>
      <c r="GO237" s="734"/>
      <c r="GP237" s="734"/>
      <c r="GQ237" s="734"/>
      <c r="GR237" s="734"/>
      <c r="GS237" s="734"/>
      <c r="GT237" s="734"/>
      <c r="GU237" s="734"/>
      <c r="GV237" s="734"/>
      <c r="GW237" s="734"/>
      <c r="GX237" s="734"/>
      <c r="GY237" s="734"/>
      <c r="GZ237" s="734"/>
      <c r="HA237" s="734"/>
    </row>
    <row r="238" spans="1:209" s="8" customFormat="1" x14ac:dyDescent="0.25">
      <c r="A238" s="272"/>
      <c r="B238" s="313" t="s">
        <v>541</v>
      </c>
      <c r="C238" s="416">
        <f>SUM(C239:C243)</f>
        <v>23679.99</v>
      </c>
      <c r="D238" s="438">
        <f>SUM(D239:D243)</f>
        <v>0</v>
      </c>
      <c r="E238" s="438">
        <f>SUM(E239:E243)</f>
        <v>0</v>
      </c>
      <c r="F238" s="438">
        <f>SUM(F239:F243)</f>
        <v>23679.99</v>
      </c>
      <c r="G238" s="438"/>
      <c r="H238" s="438">
        <f>SUM(H239:H243)</f>
        <v>0</v>
      </c>
      <c r="I238" s="416">
        <f>SUM(J238:N238)</f>
        <v>24129.85</v>
      </c>
      <c r="J238" s="438">
        <f>SUM(J239:J243)</f>
        <v>0</v>
      </c>
      <c r="K238" s="438">
        <f>SUM(K239:K243)</f>
        <v>0</v>
      </c>
      <c r="L238" s="438">
        <f>SUM(L239:L243)</f>
        <v>24129.85</v>
      </c>
      <c r="M238" s="423"/>
      <c r="N238" s="438">
        <f>SUM(N239:N243)</f>
        <v>0</v>
      </c>
      <c r="O238" s="416">
        <f t="shared" si="60"/>
        <v>24091.792449999997</v>
      </c>
      <c r="P238" s="438">
        <f>SUM(P239:P243)</f>
        <v>0</v>
      </c>
      <c r="Q238" s="438">
        <f>SUM(Q239:Q243)</f>
        <v>0</v>
      </c>
      <c r="R238" s="438">
        <f>SUM(R239:R243)</f>
        <v>24091.792449999997</v>
      </c>
      <c r="S238" s="423"/>
      <c r="T238" s="438">
        <f>SUM(T239:T243)</f>
        <v>0</v>
      </c>
    </row>
    <row r="239" spans="1:209" s="8" customFormat="1" ht="31.5" x14ac:dyDescent="0.25">
      <c r="A239" s="272"/>
      <c r="B239" s="306" t="s">
        <v>542</v>
      </c>
      <c r="C239" s="416">
        <f>SUM(D239:H239)</f>
        <v>23579.99</v>
      </c>
      <c r="D239" s="129"/>
      <c r="E239" s="129"/>
      <c r="F239" s="129">
        <v>23579.99</v>
      </c>
      <c r="G239" s="129"/>
      <c r="H239" s="129"/>
      <c r="I239" s="416">
        <f t="shared" ref="I239:I314" si="61">SUM(J239:N239)</f>
        <v>23960.48</v>
      </c>
      <c r="J239" s="414"/>
      <c r="K239" s="414"/>
      <c r="L239" s="414">
        <v>23960.48</v>
      </c>
      <c r="M239" s="423"/>
      <c r="N239" s="414"/>
      <c r="O239" s="416">
        <f t="shared" si="60"/>
        <v>23922.42</v>
      </c>
      <c r="P239" s="414"/>
      <c r="Q239" s="414"/>
      <c r="R239" s="414">
        <v>23922.42</v>
      </c>
      <c r="S239" s="423"/>
      <c r="T239" s="414"/>
    </row>
    <row r="240" spans="1:209" s="8" customFormat="1" x14ac:dyDescent="0.25">
      <c r="A240" s="272"/>
      <c r="B240" s="306" t="s">
        <v>817</v>
      </c>
      <c r="C240" s="416">
        <f t="shared" ref="C240:C315" si="62">SUM(D240:H240)</f>
        <v>0</v>
      </c>
      <c r="D240" s="129"/>
      <c r="E240" s="129"/>
      <c r="F240" s="129"/>
      <c r="G240" s="129"/>
      <c r="H240" s="129"/>
      <c r="I240" s="416">
        <f t="shared" si="61"/>
        <v>33.67</v>
      </c>
      <c r="J240" s="414"/>
      <c r="K240" s="414"/>
      <c r="L240" s="414">
        <v>33.67</v>
      </c>
      <c r="M240" s="423"/>
      <c r="N240" s="414"/>
      <c r="O240" s="416">
        <f t="shared" si="60"/>
        <v>33.672449999999998</v>
      </c>
      <c r="P240" s="414"/>
      <c r="Q240" s="414"/>
      <c r="R240" s="414">
        <v>33.672449999999998</v>
      </c>
      <c r="S240" s="423"/>
      <c r="T240" s="414"/>
    </row>
    <row r="241" spans="1:20" s="8" customFormat="1" ht="47.25" x14ac:dyDescent="0.25">
      <c r="A241" s="272"/>
      <c r="B241" s="306" t="s">
        <v>818</v>
      </c>
      <c r="C241" s="416">
        <f t="shared" si="62"/>
        <v>0</v>
      </c>
      <c r="D241" s="129"/>
      <c r="E241" s="129"/>
      <c r="F241" s="129"/>
      <c r="G241" s="129"/>
      <c r="H241" s="129"/>
      <c r="I241" s="416">
        <f t="shared" si="61"/>
        <v>35.700000000000003</v>
      </c>
      <c r="J241" s="414"/>
      <c r="K241" s="414"/>
      <c r="L241" s="414">
        <v>35.700000000000003</v>
      </c>
      <c r="M241" s="423"/>
      <c r="N241" s="414"/>
      <c r="O241" s="416">
        <f t="shared" si="60"/>
        <v>35.700000000000003</v>
      </c>
      <c r="P241" s="414"/>
      <c r="Q241" s="414"/>
      <c r="R241" s="414">
        <v>35.700000000000003</v>
      </c>
      <c r="S241" s="423"/>
      <c r="T241" s="414"/>
    </row>
    <row r="242" spans="1:20" s="8" customFormat="1" ht="31.5" x14ac:dyDescent="0.25">
      <c r="A242" s="272"/>
      <c r="B242" s="306" t="s">
        <v>543</v>
      </c>
      <c r="C242" s="416">
        <f t="shared" si="62"/>
        <v>0</v>
      </c>
      <c r="D242" s="129"/>
      <c r="E242" s="129"/>
      <c r="F242" s="129"/>
      <c r="G242" s="129"/>
      <c r="H242" s="129"/>
      <c r="I242" s="416">
        <f t="shared" si="61"/>
        <v>0</v>
      </c>
      <c r="J242" s="414"/>
      <c r="K242" s="414"/>
      <c r="L242" s="414"/>
      <c r="M242" s="423"/>
      <c r="N242" s="414"/>
      <c r="O242" s="416">
        <f t="shared" si="60"/>
        <v>0</v>
      </c>
      <c r="P242" s="423"/>
      <c r="Q242" s="423"/>
      <c r="R242" s="129">
        <v>0</v>
      </c>
      <c r="S242" s="423"/>
      <c r="T242" s="423"/>
    </row>
    <row r="243" spans="1:20" s="8" customFormat="1" ht="31.5" x14ac:dyDescent="0.25">
      <c r="A243" s="272"/>
      <c r="B243" s="306" t="s">
        <v>544</v>
      </c>
      <c r="C243" s="416">
        <f t="shared" si="62"/>
        <v>100</v>
      </c>
      <c r="D243" s="129"/>
      <c r="E243" s="129"/>
      <c r="F243" s="129">
        <v>100</v>
      </c>
      <c r="G243" s="129"/>
      <c r="H243" s="129"/>
      <c r="I243" s="416">
        <f t="shared" si="61"/>
        <v>100</v>
      </c>
      <c r="J243" s="414"/>
      <c r="K243" s="414"/>
      <c r="L243" s="414">
        <v>100</v>
      </c>
      <c r="M243" s="423"/>
      <c r="N243" s="414"/>
      <c r="O243" s="416">
        <f t="shared" si="60"/>
        <v>100</v>
      </c>
      <c r="P243" s="423"/>
      <c r="Q243" s="423"/>
      <c r="R243" s="129">
        <v>100</v>
      </c>
      <c r="S243" s="423"/>
      <c r="T243" s="423"/>
    </row>
    <row r="244" spans="1:20" s="8" customFormat="1" ht="24" customHeight="1" x14ac:dyDescent="0.25">
      <c r="A244" s="272"/>
      <c r="B244" s="313" t="s">
        <v>545</v>
      </c>
      <c r="C244" s="416">
        <f t="shared" si="62"/>
        <v>981017.42</v>
      </c>
      <c r="D244" s="438">
        <f>D245+D256+D278</f>
        <v>27154.51</v>
      </c>
      <c r="E244" s="438">
        <f>E245+E256+E278</f>
        <v>592680.80000000005</v>
      </c>
      <c r="F244" s="438">
        <f>F245+F256+F278</f>
        <v>345580.11</v>
      </c>
      <c r="G244" s="438"/>
      <c r="H244" s="438">
        <f>H245+H256+H278</f>
        <v>15602</v>
      </c>
      <c r="I244" s="416">
        <f t="shared" si="61"/>
        <v>1105712.71428</v>
      </c>
      <c r="J244" s="438">
        <f>J245+J256+J278</f>
        <v>44996.323000000004</v>
      </c>
      <c r="K244" s="438">
        <f>K245+K256+K278</f>
        <v>692468.72028000001</v>
      </c>
      <c r="L244" s="438">
        <f>L245+L256+L278</f>
        <v>351782.36100000003</v>
      </c>
      <c r="M244" s="423"/>
      <c r="N244" s="438">
        <f>N245+N256+N278</f>
        <v>16465.310000000001</v>
      </c>
      <c r="O244" s="416">
        <f t="shared" si="60"/>
        <v>1105712.7065699999</v>
      </c>
      <c r="P244" s="438">
        <f>P245+P256+P278</f>
        <v>44996.32</v>
      </c>
      <c r="Q244" s="438">
        <f>Q245+Q256+Q278</f>
        <v>692468.72</v>
      </c>
      <c r="R244" s="438">
        <f>R245+R256+R278</f>
        <v>351782.35656999995</v>
      </c>
      <c r="S244" s="423"/>
      <c r="T244" s="438">
        <f>T245+T256+T278</f>
        <v>16465.310000000001</v>
      </c>
    </row>
    <row r="245" spans="1:20" s="305" customFormat="1" ht="63" x14ac:dyDescent="0.25">
      <c r="A245" s="298"/>
      <c r="B245" s="308" t="s">
        <v>546</v>
      </c>
      <c r="C245" s="470">
        <f t="shared" si="62"/>
        <v>351132.30999999994</v>
      </c>
      <c r="D245" s="429">
        <f>SUM(D246:D254)</f>
        <v>0</v>
      </c>
      <c r="E245" s="429">
        <f>SUM(E246:E254)</f>
        <v>178873.1</v>
      </c>
      <c r="F245" s="429">
        <f>SUM(F246:F255)</f>
        <v>158827.20999999996</v>
      </c>
      <c r="G245" s="429">
        <f>SUM(G246:G254)</f>
        <v>0</v>
      </c>
      <c r="H245" s="429">
        <f>SUM(H246:H254)</f>
        <v>13432</v>
      </c>
      <c r="I245" s="470">
        <f t="shared" si="61"/>
        <v>373876.80000000005</v>
      </c>
      <c r="J245" s="440">
        <f>SUM(J246:J254)</f>
        <v>0</v>
      </c>
      <c r="K245" s="440">
        <f>SUM(K246:K254)</f>
        <v>204766.36000000002</v>
      </c>
      <c r="L245" s="440">
        <f>SUM(L246:L255)</f>
        <v>154444.1</v>
      </c>
      <c r="M245" s="471"/>
      <c r="N245" s="440">
        <f>SUM(N246:N254)</f>
        <v>14666.34</v>
      </c>
      <c r="O245" s="470">
        <f t="shared" si="60"/>
        <v>373876.79937000008</v>
      </c>
      <c r="P245" s="440">
        <f>SUM(P246:P254)</f>
        <v>0</v>
      </c>
      <c r="Q245" s="440">
        <f>SUM(Q246:Q254)</f>
        <v>204766.36000000002</v>
      </c>
      <c r="R245" s="440">
        <f>SUM(R246:R255)</f>
        <v>154444.09937000001</v>
      </c>
      <c r="S245" s="440">
        <f>SUM(S246:S254)</f>
        <v>0</v>
      </c>
      <c r="T245" s="440">
        <f>SUM(T246:T254)</f>
        <v>14666.34</v>
      </c>
    </row>
    <row r="246" spans="1:20" s="8" customFormat="1" ht="31.5" x14ac:dyDescent="0.25">
      <c r="A246" s="272"/>
      <c r="B246" s="306" t="s">
        <v>542</v>
      </c>
      <c r="C246" s="416">
        <f t="shared" si="62"/>
        <v>172161.08</v>
      </c>
      <c r="D246" s="129"/>
      <c r="E246" s="129"/>
      <c r="F246" s="129">
        <v>158729.07999999999</v>
      </c>
      <c r="G246" s="129"/>
      <c r="H246" s="129">
        <v>13432</v>
      </c>
      <c r="I246" s="416">
        <f t="shared" si="61"/>
        <v>168397.49</v>
      </c>
      <c r="J246" s="414"/>
      <c r="K246" s="414"/>
      <c r="L246" s="414">
        <v>153731.15</v>
      </c>
      <c r="M246" s="423"/>
      <c r="N246" s="414">
        <v>14666.34</v>
      </c>
      <c r="O246" s="416">
        <f t="shared" si="60"/>
        <v>168397.49</v>
      </c>
      <c r="P246" s="472"/>
      <c r="Q246" s="414"/>
      <c r="R246" s="414">
        <v>153731.15</v>
      </c>
      <c r="S246" s="423"/>
      <c r="T246" s="414">
        <v>14666.34</v>
      </c>
    </row>
    <row r="247" spans="1:20" s="8" customFormat="1" ht="31.5" x14ac:dyDescent="0.25">
      <c r="A247" s="272"/>
      <c r="B247" s="306" t="s">
        <v>547</v>
      </c>
      <c r="C247" s="416">
        <f t="shared" si="62"/>
        <v>0</v>
      </c>
      <c r="D247" s="129"/>
      <c r="E247" s="129"/>
      <c r="F247" s="129"/>
      <c r="G247" s="129"/>
      <c r="H247" s="129"/>
      <c r="I247" s="416">
        <f t="shared" si="61"/>
        <v>594.94000000000005</v>
      </c>
      <c r="J247" s="414"/>
      <c r="K247" s="414"/>
      <c r="L247" s="414">
        <v>594.94000000000005</v>
      </c>
      <c r="M247" s="423"/>
      <c r="N247" s="414"/>
      <c r="O247" s="416">
        <f t="shared" si="60"/>
        <v>594.94000000000005</v>
      </c>
      <c r="P247" s="472"/>
      <c r="Q247" s="414"/>
      <c r="R247" s="414">
        <v>594.94000000000005</v>
      </c>
      <c r="S247" s="423"/>
      <c r="T247" s="414"/>
    </row>
    <row r="248" spans="1:20" s="8" customFormat="1" ht="31.5" x14ac:dyDescent="0.25">
      <c r="A248" s="272"/>
      <c r="B248" s="306" t="s">
        <v>548</v>
      </c>
      <c r="C248" s="416">
        <f t="shared" si="62"/>
        <v>47.8</v>
      </c>
      <c r="D248" s="129"/>
      <c r="E248" s="129"/>
      <c r="F248" s="129">
        <v>47.8</v>
      </c>
      <c r="G248" s="129"/>
      <c r="H248" s="129"/>
      <c r="I248" s="416">
        <f t="shared" si="61"/>
        <v>34.909999999999997</v>
      </c>
      <c r="J248" s="414"/>
      <c r="K248" s="414"/>
      <c r="L248" s="414">
        <v>34.909999999999997</v>
      </c>
      <c r="M248" s="423"/>
      <c r="N248" s="414"/>
      <c r="O248" s="416">
        <f t="shared" si="60"/>
        <v>34.914369999999998</v>
      </c>
      <c r="P248" s="472"/>
      <c r="Q248" s="414"/>
      <c r="R248" s="414">
        <v>34.914369999999998</v>
      </c>
      <c r="S248" s="423"/>
      <c r="T248" s="414"/>
    </row>
    <row r="249" spans="1:20" s="8" customFormat="1" ht="31.5" x14ac:dyDescent="0.25">
      <c r="A249" s="272"/>
      <c r="B249" s="306" t="s">
        <v>549</v>
      </c>
      <c r="C249" s="416">
        <f t="shared" si="62"/>
        <v>30.33</v>
      </c>
      <c r="D249" s="129"/>
      <c r="E249" s="129"/>
      <c r="F249" s="129">
        <v>30.33</v>
      </c>
      <c r="G249" s="129"/>
      <c r="H249" s="129"/>
      <c r="I249" s="416">
        <f t="shared" si="61"/>
        <v>1.66</v>
      </c>
      <c r="J249" s="414"/>
      <c r="K249" s="414"/>
      <c r="L249" s="414">
        <v>1.66</v>
      </c>
      <c r="M249" s="423"/>
      <c r="N249" s="414"/>
      <c r="O249" s="416">
        <f t="shared" si="60"/>
        <v>1.655</v>
      </c>
      <c r="P249" s="472"/>
      <c r="Q249" s="414"/>
      <c r="R249" s="414">
        <v>1.655</v>
      </c>
      <c r="S249" s="423"/>
      <c r="T249" s="414"/>
    </row>
    <row r="250" spans="1:20" s="8" customFormat="1" ht="47.25" x14ac:dyDescent="0.25">
      <c r="A250" s="272"/>
      <c r="B250" s="306" t="s">
        <v>550</v>
      </c>
      <c r="C250" s="416">
        <f t="shared" si="62"/>
        <v>0</v>
      </c>
      <c r="D250" s="129"/>
      <c r="E250" s="129"/>
      <c r="F250" s="129"/>
      <c r="G250" s="129"/>
      <c r="H250" s="129"/>
      <c r="I250" s="416">
        <f t="shared" si="61"/>
        <v>0</v>
      </c>
      <c r="J250" s="414"/>
      <c r="K250" s="414"/>
      <c r="L250" s="414"/>
      <c r="M250" s="423"/>
      <c r="N250" s="414"/>
      <c r="O250" s="416">
        <f t="shared" si="60"/>
        <v>0</v>
      </c>
      <c r="P250" s="472"/>
      <c r="Q250" s="414"/>
      <c r="R250" s="414"/>
      <c r="S250" s="423"/>
      <c r="T250" s="414"/>
    </row>
    <row r="251" spans="1:20" s="8" customFormat="1" ht="47.25" x14ac:dyDescent="0.25">
      <c r="A251" s="272"/>
      <c r="B251" s="395" t="s">
        <v>819</v>
      </c>
      <c r="C251" s="416">
        <f t="shared" si="62"/>
        <v>0</v>
      </c>
      <c r="D251" s="129"/>
      <c r="E251" s="129"/>
      <c r="F251" s="129"/>
      <c r="G251" s="129"/>
      <c r="H251" s="129"/>
      <c r="I251" s="416">
        <f t="shared" si="61"/>
        <v>9.5</v>
      </c>
      <c r="J251" s="414"/>
      <c r="K251" s="414"/>
      <c r="L251" s="414">
        <v>9.5</v>
      </c>
      <c r="M251" s="423"/>
      <c r="N251" s="414"/>
      <c r="O251" s="416">
        <f t="shared" si="60"/>
        <v>9.5</v>
      </c>
      <c r="P251" s="472"/>
      <c r="Q251" s="414"/>
      <c r="R251" s="414">
        <v>9.5</v>
      </c>
      <c r="S251" s="423"/>
      <c r="T251" s="414"/>
    </row>
    <row r="252" spans="1:20" s="8" customFormat="1" ht="47.25" x14ac:dyDescent="0.25">
      <c r="A252" s="272"/>
      <c r="B252" s="395" t="s">
        <v>820</v>
      </c>
      <c r="C252" s="416">
        <f t="shared" si="62"/>
        <v>0</v>
      </c>
      <c r="D252" s="129"/>
      <c r="E252" s="129"/>
      <c r="F252" s="129"/>
      <c r="G252" s="129"/>
      <c r="H252" s="129"/>
      <c r="I252" s="416">
        <f t="shared" si="61"/>
        <v>51.94</v>
      </c>
      <c r="J252" s="414"/>
      <c r="K252" s="414"/>
      <c r="L252" s="414">
        <v>51.94</v>
      </c>
      <c r="M252" s="423"/>
      <c r="N252" s="414"/>
      <c r="O252" s="416">
        <f t="shared" si="60"/>
        <v>51.94</v>
      </c>
      <c r="P252" s="472"/>
      <c r="Q252" s="414"/>
      <c r="R252" s="414">
        <v>51.94</v>
      </c>
      <c r="S252" s="423"/>
      <c r="T252" s="414"/>
    </row>
    <row r="253" spans="1:20" s="8" customFormat="1" ht="63" x14ac:dyDescent="0.25">
      <c r="A253" s="272"/>
      <c r="B253" s="306" t="s">
        <v>551</v>
      </c>
      <c r="C253" s="416">
        <f t="shared" si="62"/>
        <v>172056.1</v>
      </c>
      <c r="D253" s="129"/>
      <c r="E253" s="129">
        <v>172056.1</v>
      </c>
      <c r="F253" s="129"/>
      <c r="G253" s="129"/>
      <c r="H253" s="129"/>
      <c r="I253" s="416">
        <f t="shared" si="61"/>
        <v>201819.73</v>
      </c>
      <c r="J253" s="414"/>
      <c r="K253" s="414">
        <v>201819.73</v>
      </c>
      <c r="L253" s="414"/>
      <c r="M253" s="423"/>
      <c r="N253" s="414"/>
      <c r="O253" s="416">
        <f t="shared" si="60"/>
        <v>201819.73</v>
      </c>
      <c r="P253" s="472"/>
      <c r="Q253" s="414">
        <v>201819.73</v>
      </c>
      <c r="R253" s="414"/>
      <c r="S253" s="423"/>
      <c r="T253" s="414"/>
    </row>
    <row r="254" spans="1:20" s="8" customFormat="1" ht="78.75" x14ac:dyDescent="0.25">
      <c r="A254" s="272"/>
      <c r="B254" s="306" t="s">
        <v>552</v>
      </c>
      <c r="C254" s="416">
        <f t="shared" si="62"/>
        <v>6817</v>
      </c>
      <c r="D254" s="129"/>
      <c r="E254" s="129">
        <v>6817</v>
      </c>
      <c r="F254" s="129"/>
      <c r="G254" s="129"/>
      <c r="H254" s="129"/>
      <c r="I254" s="416">
        <f t="shared" si="61"/>
        <v>2946.63</v>
      </c>
      <c r="J254" s="414"/>
      <c r="K254" s="414">
        <v>2946.63</v>
      </c>
      <c r="L254" s="414"/>
      <c r="M254" s="423"/>
      <c r="N254" s="414"/>
      <c r="O254" s="416">
        <f t="shared" si="60"/>
        <v>2946.63</v>
      </c>
      <c r="P254" s="472"/>
      <c r="Q254" s="414">
        <v>2946.63</v>
      </c>
      <c r="R254" s="414"/>
      <c r="S254" s="423"/>
      <c r="T254" s="414"/>
    </row>
    <row r="255" spans="1:20" s="8" customFormat="1" ht="31.5" x14ac:dyDescent="0.25">
      <c r="A255" s="272"/>
      <c r="B255" s="306" t="s">
        <v>576</v>
      </c>
      <c r="C255" s="470">
        <f t="shared" si="62"/>
        <v>20</v>
      </c>
      <c r="D255" s="129"/>
      <c r="E255" s="129"/>
      <c r="F255" s="129">
        <v>20</v>
      </c>
      <c r="G255" s="129"/>
      <c r="H255" s="129"/>
      <c r="I255" s="470">
        <f t="shared" si="61"/>
        <v>20</v>
      </c>
      <c r="J255" s="414"/>
      <c r="K255" s="414"/>
      <c r="L255" s="414">
        <v>20</v>
      </c>
      <c r="M255" s="423"/>
      <c r="N255" s="414"/>
      <c r="O255" s="416">
        <f t="shared" si="60"/>
        <v>20</v>
      </c>
      <c r="P255" s="472"/>
      <c r="Q255" s="414"/>
      <c r="R255" s="414">
        <v>20</v>
      </c>
      <c r="S255" s="423"/>
      <c r="T255" s="414"/>
    </row>
    <row r="256" spans="1:20" s="305" customFormat="1" ht="78.75" x14ac:dyDescent="0.25">
      <c r="A256" s="298"/>
      <c r="B256" s="308" t="s">
        <v>553</v>
      </c>
      <c r="C256" s="470">
        <f t="shared" si="62"/>
        <v>629885.11</v>
      </c>
      <c r="D256" s="429">
        <f>SUM(D257:D276)</f>
        <v>27154.51</v>
      </c>
      <c r="E256" s="429">
        <f>SUM(E257:E276)</f>
        <v>413807.7</v>
      </c>
      <c r="F256" s="429">
        <f>SUM(F257:F277)</f>
        <v>186752.9</v>
      </c>
      <c r="G256" s="429">
        <f>SUM(G257:G276)</f>
        <v>0</v>
      </c>
      <c r="H256" s="429">
        <f>SUM(H257:H276)</f>
        <v>2170</v>
      </c>
      <c r="I256" s="470">
        <f t="shared" si="61"/>
        <v>731835.91427999991</v>
      </c>
      <c r="J256" s="440">
        <f>SUM(J257:J276)</f>
        <v>44996.323000000004</v>
      </c>
      <c r="K256" s="440">
        <f>SUM(K257:K276)</f>
        <v>487702.36028000002</v>
      </c>
      <c r="L256" s="440">
        <f>SUM(L257:L277)</f>
        <v>197338.261</v>
      </c>
      <c r="M256" s="440">
        <f>SUM(M257:M276)</f>
        <v>0</v>
      </c>
      <c r="N256" s="440">
        <f>SUM(N257:N276)</f>
        <v>1798.97</v>
      </c>
      <c r="O256" s="470">
        <f t="shared" si="60"/>
        <v>731835.9071999999</v>
      </c>
      <c r="P256" s="440">
        <f>SUM(P257:P276)</f>
        <v>44996.32</v>
      </c>
      <c r="Q256" s="440">
        <f>SUM(Q257:Q276)</f>
        <v>487702.36</v>
      </c>
      <c r="R256" s="440">
        <f>SUM(R257:R277)</f>
        <v>197338.25719999996</v>
      </c>
      <c r="S256" s="440">
        <f>SUM(S257:S276)</f>
        <v>0</v>
      </c>
      <c r="T256" s="440">
        <f>SUM(T257:T276)</f>
        <v>1798.97</v>
      </c>
    </row>
    <row r="257" spans="1:20" s="8" customFormat="1" ht="31.5" x14ac:dyDescent="0.25">
      <c r="A257" s="272"/>
      <c r="B257" s="306" t="s">
        <v>542</v>
      </c>
      <c r="C257" s="416">
        <f t="shared" si="62"/>
        <v>188493.4</v>
      </c>
      <c r="D257" s="129"/>
      <c r="E257" s="129"/>
      <c r="F257" s="129">
        <v>186323.4</v>
      </c>
      <c r="G257" s="129"/>
      <c r="H257" s="129">
        <v>2170</v>
      </c>
      <c r="I257" s="416">
        <f t="shared" si="61"/>
        <v>194314.08</v>
      </c>
      <c r="J257" s="414"/>
      <c r="K257" s="414"/>
      <c r="L257" s="414">
        <v>192515.11</v>
      </c>
      <c r="M257" s="423"/>
      <c r="N257" s="414">
        <v>1798.97</v>
      </c>
      <c r="O257" s="416">
        <f t="shared" si="60"/>
        <v>194314.08</v>
      </c>
      <c r="P257" s="472"/>
      <c r="Q257" s="129"/>
      <c r="R257" s="414">
        <v>192515.11</v>
      </c>
      <c r="S257" s="414"/>
      <c r="T257" s="414">
        <v>1798.97</v>
      </c>
    </row>
    <row r="258" spans="1:20" s="8" customFormat="1" ht="31.5" x14ac:dyDescent="0.25">
      <c r="A258" s="272"/>
      <c r="B258" s="306" t="s">
        <v>547</v>
      </c>
      <c r="C258" s="416">
        <f t="shared" si="62"/>
        <v>0</v>
      </c>
      <c r="D258" s="129"/>
      <c r="E258" s="129"/>
      <c r="F258" s="129"/>
      <c r="G258" s="129"/>
      <c r="H258" s="129"/>
      <c r="I258" s="416">
        <f t="shared" si="61"/>
        <v>2205.81</v>
      </c>
      <c r="J258" s="414"/>
      <c r="K258" s="414"/>
      <c r="L258" s="414">
        <v>2205.81</v>
      </c>
      <c r="M258" s="423"/>
      <c r="N258" s="414"/>
      <c r="O258" s="416">
        <f t="shared" si="60"/>
        <v>2205.81</v>
      </c>
      <c r="P258" s="472"/>
      <c r="Q258" s="129"/>
      <c r="R258" s="414">
        <v>2205.81</v>
      </c>
      <c r="S258" s="472"/>
      <c r="T258" s="414"/>
    </row>
    <row r="259" spans="1:20" s="8" customFormat="1" ht="47.25" x14ac:dyDescent="0.25">
      <c r="A259" s="272"/>
      <c r="B259" s="306" t="s">
        <v>550</v>
      </c>
      <c r="C259" s="416">
        <f t="shared" si="62"/>
        <v>0</v>
      </c>
      <c r="D259" s="129"/>
      <c r="E259" s="129"/>
      <c r="F259" s="129"/>
      <c r="G259" s="129"/>
      <c r="H259" s="129"/>
      <c r="I259" s="416">
        <f t="shared" si="61"/>
        <v>0</v>
      </c>
      <c r="J259" s="414"/>
      <c r="K259" s="414"/>
      <c r="L259" s="414"/>
      <c r="M259" s="423"/>
      <c r="N259" s="414"/>
      <c r="O259" s="416">
        <f t="shared" si="60"/>
        <v>0</v>
      </c>
      <c r="P259" s="472"/>
      <c r="Q259" s="414"/>
      <c r="R259" s="414"/>
      <c r="S259" s="472"/>
      <c r="T259" s="414"/>
    </row>
    <row r="260" spans="1:20" s="8" customFormat="1" ht="31.5" x14ac:dyDescent="0.25">
      <c r="A260" s="272"/>
      <c r="B260" s="306" t="s">
        <v>548</v>
      </c>
      <c r="C260" s="416">
        <f t="shared" si="62"/>
        <v>64.400000000000006</v>
      </c>
      <c r="D260" s="129"/>
      <c r="E260" s="129"/>
      <c r="F260" s="129">
        <v>64.400000000000006</v>
      </c>
      <c r="G260" s="129"/>
      <c r="H260" s="129"/>
      <c r="I260" s="416">
        <f t="shared" si="61"/>
        <v>72.760000000000005</v>
      </c>
      <c r="J260" s="414"/>
      <c r="K260" s="414"/>
      <c r="L260" s="414">
        <v>72.760000000000005</v>
      </c>
      <c r="M260" s="423"/>
      <c r="N260" s="414"/>
      <c r="O260" s="416">
        <f t="shared" si="60"/>
        <v>72.755399999999995</v>
      </c>
      <c r="P260" s="472"/>
      <c r="Q260" s="414"/>
      <c r="R260" s="414">
        <v>72.755399999999995</v>
      </c>
      <c r="S260" s="472"/>
      <c r="T260" s="414"/>
    </row>
    <row r="261" spans="1:20" s="8" customFormat="1" ht="31.5" x14ac:dyDescent="0.25">
      <c r="A261" s="272"/>
      <c r="B261" s="306" t="s">
        <v>549</v>
      </c>
      <c r="C261" s="416">
        <f t="shared" si="62"/>
        <v>220.1</v>
      </c>
      <c r="D261" s="129"/>
      <c r="E261" s="129"/>
      <c r="F261" s="129">
        <v>220.1</v>
      </c>
      <c r="G261" s="129"/>
      <c r="H261" s="129"/>
      <c r="I261" s="416">
        <f t="shared" si="61"/>
        <v>162.16</v>
      </c>
      <c r="J261" s="414"/>
      <c r="K261" s="414"/>
      <c r="L261" s="414">
        <v>162.16</v>
      </c>
      <c r="M261" s="423"/>
      <c r="N261" s="414"/>
      <c r="O261" s="416">
        <f t="shared" si="60"/>
        <v>162.1634</v>
      </c>
      <c r="P261" s="472"/>
      <c r="Q261" s="414"/>
      <c r="R261" s="414">
        <v>162.1634</v>
      </c>
      <c r="S261" s="472"/>
      <c r="T261" s="414"/>
    </row>
    <row r="262" spans="1:20" s="8" customFormat="1" ht="47.25" x14ac:dyDescent="0.25">
      <c r="A262" s="272"/>
      <c r="B262" s="395" t="s">
        <v>819</v>
      </c>
      <c r="C262" s="416">
        <f t="shared" si="62"/>
        <v>0</v>
      </c>
      <c r="D262" s="129"/>
      <c r="E262" s="129"/>
      <c r="F262" s="129"/>
      <c r="G262" s="129"/>
      <c r="H262" s="129"/>
      <c r="I262" s="416">
        <f t="shared" si="61"/>
        <v>11.5</v>
      </c>
      <c r="J262" s="414"/>
      <c r="K262" s="414"/>
      <c r="L262" s="414">
        <v>11.5</v>
      </c>
      <c r="M262" s="423"/>
      <c r="N262" s="414"/>
      <c r="O262" s="416">
        <f t="shared" si="60"/>
        <v>11.5</v>
      </c>
      <c r="P262" s="472"/>
      <c r="Q262" s="414"/>
      <c r="R262" s="414">
        <v>11.5</v>
      </c>
      <c r="S262" s="472"/>
      <c r="T262" s="414"/>
    </row>
    <row r="263" spans="1:20" s="8" customFormat="1" ht="31.5" x14ac:dyDescent="0.25">
      <c r="A263" s="272"/>
      <c r="B263" s="395" t="s">
        <v>821</v>
      </c>
      <c r="C263" s="416">
        <f t="shared" si="62"/>
        <v>0</v>
      </c>
      <c r="D263" s="129"/>
      <c r="E263" s="129"/>
      <c r="F263" s="129"/>
      <c r="G263" s="129"/>
      <c r="H263" s="129"/>
      <c r="I263" s="416">
        <f t="shared" si="61"/>
        <v>196.22200000000001</v>
      </c>
      <c r="J263" s="414"/>
      <c r="K263" s="414"/>
      <c r="L263" s="414">
        <v>196.22200000000001</v>
      </c>
      <c r="M263" s="423"/>
      <c r="N263" s="414"/>
      <c r="O263" s="416">
        <f t="shared" si="60"/>
        <v>196.22200000000001</v>
      </c>
      <c r="P263" s="472"/>
      <c r="Q263" s="414"/>
      <c r="R263" s="414">
        <v>196.22200000000001</v>
      </c>
      <c r="S263" s="472"/>
      <c r="T263" s="414"/>
    </row>
    <row r="264" spans="1:20" s="8" customFormat="1" ht="47.25" x14ac:dyDescent="0.25">
      <c r="A264" s="272"/>
      <c r="B264" s="395" t="s">
        <v>1055</v>
      </c>
      <c r="C264" s="416">
        <f t="shared" si="62"/>
        <v>0</v>
      </c>
      <c r="D264" s="129"/>
      <c r="E264" s="129"/>
      <c r="F264" s="129"/>
      <c r="G264" s="129"/>
      <c r="H264" s="129"/>
      <c r="I264" s="416">
        <f t="shared" si="61"/>
        <v>628.9</v>
      </c>
      <c r="J264" s="414"/>
      <c r="K264" s="414"/>
      <c r="L264" s="414">
        <v>628.9</v>
      </c>
      <c r="M264" s="423"/>
      <c r="N264" s="414"/>
      <c r="O264" s="416">
        <f t="shared" si="60"/>
        <v>628.89639999999997</v>
      </c>
      <c r="P264" s="472"/>
      <c r="Q264" s="414"/>
      <c r="R264" s="414">
        <v>628.89639999999997</v>
      </c>
      <c r="S264" s="472"/>
      <c r="T264" s="414"/>
    </row>
    <row r="265" spans="1:20" s="8" customFormat="1" ht="31.5" x14ac:dyDescent="0.25">
      <c r="A265" s="272"/>
      <c r="B265" s="395" t="s">
        <v>1056</v>
      </c>
      <c r="C265" s="416">
        <f t="shared" si="62"/>
        <v>0</v>
      </c>
      <c r="D265" s="129"/>
      <c r="E265" s="129"/>
      <c r="F265" s="129"/>
      <c r="G265" s="129"/>
      <c r="H265" s="129"/>
      <c r="I265" s="416">
        <f t="shared" si="61"/>
        <v>60</v>
      </c>
      <c r="J265" s="414"/>
      <c r="K265" s="414"/>
      <c r="L265" s="414">
        <v>60</v>
      </c>
      <c r="M265" s="423"/>
      <c r="N265" s="414"/>
      <c r="O265" s="416">
        <f t="shared" si="60"/>
        <v>60</v>
      </c>
      <c r="P265" s="472"/>
      <c r="Q265" s="414"/>
      <c r="R265" s="414">
        <v>60</v>
      </c>
      <c r="S265" s="472"/>
      <c r="T265" s="414"/>
    </row>
    <row r="266" spans="1:20" s="8" customFormat="1" ht="47.25" x14ac:dyDescent="0.25">
      <c r="A266" s="272"/>
      <c r="B266" s="395" t="s">
        <v>822</v>
      </c>
      <c r="C266" s="416">
        <f t="shared" si="62"/>
        <v>0</v>
      </c>
      <c r="D266" s="129"/>
      <c r="E266" s="129"/>
      <c r="F266" s="129"/>
      <c r="G266" s="129"/>
      <c r="H266" s="129"/>
      <c r="I266" s="416">
        <f t="shared" si="61"/>
        <v>482.49</v>
      </c>
      <c r="J266" s="414"/>
      <c r="K266" s="414"/>
      <c r="L266" s="414">
        <v>482.49</v>
      </c>
      <c r="M266" s="423"/>
      <c r="N266" s="414"/>
      <c r="O266" s="416">
        <f t="shared" si="60"/>
        <v>482.49</v>
      </c>
      <c r="P266" s="472"/>
      <c r="Q266" s="414"/>
      <c r="R266" s="414">
        <v>482.49</v>
      </c>
      <c r="S266" s="472"/>
      <c r="T266" s="414"/>
    </row>
    <row r="267" spans="1:20" s="8" customFormat="1" ht="47.25" x14ac:dyDescent="0.25">
      <c r="A267" s="272"/>
      <c r="B267" s="395" t="s">
        <v>820</v>
      </c>
      <c r="C267" s="416">
        <f t="shared" si="62"/>
        <v>0</v>
      </c>
      <c r="D267" s="129"/>
      <c r="E267" s="129"/>
      <c r="F267" s="129"/>
      <c r="G267" s="129"/>
      <c r="H267" s="129"/>
      <c r="I267" s="416">
        <f t="shared" si="61"/>
        <v>55.6</v>
      </c>
      <c r="J267" s="414"/>
      <c r="K267" s="414"/>
      <c r="L267" s="414">
        <v>55.6</v>
      </c>
      <c r="M267" s="423"/>
      <c r="N267" s="414"/>
      <c r="O267" s="416">
        <f t="shared" si="60"/>
        <v>55.6</v>
      </c>
      <c r="P267" s="472"/>
      <c r="Q267" s="414"/>
      <c r="R267" s="414">
        <v>55.6</v>
      </c>
      <c r="S267" s="472"/>
      <c r="T267" s="414"/>
    </row>
    <row r="268" spans="1:20" s="8" customFormat="1" ht="47.25" x14ac:dyDescent="0.25">
      <c r="A268" s="272"/>
      <c r="B268" s="395" t="s">
        <v>823</v>
      </c>
      <c r="C268" s="416">
        <f t="shared" si="62"/>
        <v>0</v>
      </c>
      <c r="D268" s="129"/>
      <c r="E268" s="129"/>
      <c r="F268" s="129"/>
      <c r="G268" s="129"/>
      <c r="H268" s="129"/>
      <c r="I268" s="416">
        <f t="shared" si="61"/>
        <v>374.09</v>
      </c>
      <c r="J268" s="414"/>
      <c r="K268" s="414"/>
      <c r="L268" s="414">
        <v>374.09</v>
      </c>
      <c r="M268" s="423"/>
      <c r="N268" s="414"/>
      <c r="O268" s="416">
        <f t="shared" si="60"/>
        <v>374.09</v>
      </c>
      <c r="P268" s="472"/>
      <c r="Q268" s="414"/>
      <c r="R268" s="414">
        <v>374.09</v>
      </c>
      <c r="S268" s="472"/>
      <c r="T268" s="414"/>
    </row>
    <row r="269" spans="1:20" s="8" customFormat="1" ht="110.25" x14ac:dyDescent="0.25">
      <c r="A269" s="272"/>
      <c r="B269" s="306" t="s">
        <v>554</v>
      </c>
      <c r="C269" s="416">
        <f t="shared" si="62"/>
        <v>413807.7</v>
      </c>
      <c r="D269" s="129"/>
      <c r="E269" s="129">
        <v>413807.7</v>
      </c>
      <c r="F269" s="129"/>
      <c r="G269" s="129"/>
      <c r="H269" s="129"/>
      <c r="I269" s="416">
        <f t="shared" si="61"/>
        <v>483976.03628</v>
      </c>
      <c r="J269" s="414"/>
      <c r="K269" s="414">
        <v>483976.03628</v>
      </c>
      <c r="L269" s="414"/>
      <c r="M269" s="423"/>
      <c r="N269" s="414"/>
      <c r="O269" s="416">
        <f t="shared" si="60"/>
        <v>483976.04</v>
      </c>
      <c r="P269" s="472"/>
      <c r="Q269" s="414">
        <v>483976.04</v>
      </c>
      <c r="R269" s="129"/>
      <c r="S269" s="472"/>
      <c r="T269" s="414"/>
    </row>
    <row r="270" spans="1:20" s="8" customFormat="1" x14ac:dyDescent="0.25">
      <c r="A270" s="272"/>
      <c r="B270" s="306" t="s">
        <v>555</v>
      </c>
      <c r="C270" s="416">
        <f t="shared" si="62"/>
        <v>0</v>
      </c>
      <c r="D270" s="129"/>
      <c r="E270" s="129"/>
      <c r="F270" s="129"/>
      <c r="G270" s="129"/>
      <c r="H270" s="129"/>
      <c r="I270" s="416">
        <f t="shared" si="61"/>
        <v>0</v>
      </c>
      <c r="J270" s="414"/>
      <c r="K270" s="414"/>
      <c r="L270" s="414"/>
      <c r="M270" s="423"/>
      <c r="N270" s="414"/>
      <c r="O270" s="416">
        <f t="shared" si="60"/>
        <v>0</v>
      </c>
      <c r="P270" s="129"/>
      <c r="Q270" s="414"/>
      <c r="R270" s="129"/>
      <c r="S270" s="472"/>
      <c r="T270" s="414"/>
    </row>
    <row r="271" spans="1:20" s="8" customFormat="1" ht="157.5" x14ac:dyDescent="0.25">
      <c r="A271" s="272"/>
      <c r="B271" s="306" t="s">
        <v>556</v>
      </c>
      <c r="C271" s="416">
        <f t="shared" si="62"/>
        <v>27154.51</v>
      </c>
      <c r="D271" s="129">
        <v>27154.51</v>
      </c>
      <c r="E271" s="129"/>
      <c r="F271" s="129"/>
      <c r="G271" s="129"/>
      <c r="H271" s="129"/>
      <c r="I271" s="416">
        <f t="shared" si="61"/>
        <v>30880.835999999999</v>
      </c>
      <c r="J271" s="414">
        <v>27154.511999999999</v>
      </c>
      <c r="K271" s="414">
        <v>3726.3240000000001</v>
      </c>
      <c r="L271" s="414"/>
      <c r="M271" s="423"/>
      <c r="N271" s="414"/>
      <c r="O271" s="416">
        <f t="shared" si="60"/>
        <v>30880.829999999998</v>
      </c>
      <c r="P271" s="414">
        <v>27154.51</v>
      </c>
      <c r="Q271" s="414">
        <v>3726.32</v>
      </c>
      <c r="R271" s="414"/>
      <c r="S271" s="472"/>
      <c r="T271" s="414"/>
    </row>
    <row r="272" spans="1:20" s="8" customFormat="1" ht="78.75" x14ac:dyDescent="0.25">
      <c r="A272" s="272"/>
      <c r="B272" s="306" t="s">
        <v>557</v>
      </c>
      <c r="C272" s="416">
        <f t="shared" si="62"/>
        <v>0</v>
      </c>
      <c r="D272" s="129"/>
      <c r="E272" s="129"/>
      <c r="F272" s="129"/>
      <c r="G272" s="129"/>
      <c r="H272" s="129"/>
      <c r="I272" s="416">
        <f t="shared" si="61"/>
        <v>18205.93</v>
      </c>
      <c r="J272" s="414">
        <v>17841.811000000002</v>
      </c>
      <c r="K272" s="414"/>
      <c r="L272" s="414">
        <v>364.11900000000003</v>
      </c>
      <c r="M272" s="423"/>
      <c r="N272" s="414"/>
      <c r="O272" s="416">
        <f t="shared" si="60"/>
        <v>18205.93</v>
      </c>
      <c r="P272" s="414">
        <v>17841.810000000001</v>
      </c>
      <c r="Q272" s="414"/>
      <c r="R272" s="414">
        <v>364.12</v>
      </c>
      <c r="S272" s="472"/>
      <c r="T272" s="414"/>
    </row>
    <row r="273" spans="1:20" s="8" customFormat="1" ht="31.5" x14ac:dyDescent="0.25">
      <c r="A273" s="272"/>
      <c r="B273" s="306" t="s">
        <v>558</v>
      </c>
      <c r="C273" s="416">
        <f t="shared" si="62"/>
        <v>20</v>
      </c>
      <c r="D273" s="129"/>
      <c r="E273" s="129"/>
      <c r="F273" s="129">
        <v>20</v>
      </c>
      <c r="G273" s="129"/>
      <c r="H273" s="129"/>
      <c r="I273" s="416">
        <f t="shared" si="61"/>
        <v>29.5</v>
      </c>
      <c r="J273" s="414"/>
      <c r="K273" s="414"/>
      <c r="L273" s="414">
        <v>29.5</v>
      </c>
      <c r="M273" s="423"/>
      <c r="N273" s="414"/>
      <c r="O273" s="416">
        <f t="shared" si="60"/>
        <v>29.5</v>
      </c>
      <c r="P273" s="414"/>
      <c r="Q273" s="414"/>
      <c r="R273" s="414">
        <v>29.5</v>
      </c>
      <c r="S273" s="472"/>
      <c r="T273" s="423"/>
    </row>
    <row r="274" spans="1:20" s="8" customFormat="1" ht="47.25" x14ac:dyDescent="0.25">
      <c r="A274" s="272"/>
      <c r="B274" s="306" t="s">
        <v>559</v>
      </c>
      <c r="C274" s="416">
        <f t="shared" si="62"/>
        <v>50</v>
      </c>
      <c r="D274" s="129"/>
      <c r="E274" s="129"/>
      <c r="F274" s="129">
        <v>50</v>
      </c>
      <c r="G274" s="129"/>
      <c r="H274" s="129"/>
      <c r="I274" s="416">
        <f t="shared" si="61"/>
        <v>80</v>
      </c>
      <c r="J274" s="414"/>
      <c r="K274" s="414"/>
      <c r="L274" s="414">
        <v>80</v>
      </c>
      <c r="M274" s="423"/>
      <c r="N274" s="414"/>
      <c r="O274" s="416">
        <f t="shared" si="60"/>
        <v>80</v>
      </c>
      <c r="P274" s="129"/>
      <c r="Q274" s="129"/>
      <c r="R274" s="129">
        <v>80</v>
      </c>
      <c r="S274" s="472"/>
      <c r="T274" s="414"/>
    </row>
    <row r="275" spans="1:20" s="8" customFormat="1" ht="31.5" x14ac:dyDescent="0.25">
      <c r="A275" s="272"/>
      <c r="B275" s="306" t="s">
        <v>560</v>
      </c>
      <c r="C275" s="416">
        <f t="shared" si="62"/>
        <v>30</v>
      </c>
      <c r="D275" s="417"/>
      <c r="E275" s="417"/>
      <c r="F275" s="129">
        <v>30</v>
      </c>
      <c r="G275" s="417"/>
      <c r="H275" s="417"/>
      <c r="I275" s="416">
        <f t="shared" si="61"/>
        <v>55</v>
      </c>
      <c r="J275" s="414"/>
      <c r="K275" s="414"/>
      <c r="L275" s="414">
        <v>55</v>
      </c>
      <c r="M275" s="423"/>
      <c r="N275" s="414"/>
      <c r="O275" s="416">
        <f t="shared" si="60"/>
        <v>55</v>
      </c>
      <c r="P275" s="473"/>
      <c r="Q275" s="473"/>
      <c r="R275" s="129">
        <v>55</v>
      </c>
      <c r="S275" s="473"/>
      <c r="T275" s="423"/>
    </row>
    <row r="276" spans="1:20" s="8" customFormat="1" ht="31.5" x14ac:dyDescent="0.25">
      <c r="A276" s="272"/>
      <c r="B276" s="306" t="s">
        <v>561</v>
      </c>
      <c r="C276" s="416">
        <f t="shared" si="62"/>
        <v>25</v>
      </c>
      <c r="D276" s="129"/>
      <c r="E276" s="129"/>
      <c r="F276" s="129">
        <v>25</v>
      </c>
      <c r="G276" s="129"/>
      <c r="H276" s="129"/>
      <c r="I276" s="416">
        <f t="shared" si="61"/>
        <v>25</v>
      </c>
      <c r="J276" s="414"/>
      <c r="K276" s="414"/>
      <c r="L276" s="414">
        <v>25</v>
      </c>
      <c r="M276" s="423"/>
      <c r="N276" s="414"/>
      <c r="O276" s="416">
        <f t="shared" si="60"/>
        <v>25</v>
      </c>
      <c r="P276" s="472"/>
      <c r="Q276" s="472"/>
      <c r="R276" s="472">
        <v>25</v>
      </c>
      <c r="S276" s="472"/>
      <c r="T276" s="423"/>
    </row>
    <row r="277" spans="1:20" s="8" customFormat="1" ht="31.5" x14ac:dyDescent="0.25">
      <c r="A277" s="272"/>
      <c r="B277" s="306" t="s">
        <v>577</v>
      </c>
      <c r="C277" s="416">
        <f t="shared" si="62"/>
        <v>20</v>
      </c>
      <c r="D277" s="129"/>
      <c r="E277" s="129"/>
      <c r="F277" s="129">
        <v>20</v>
      </c>
      <c r="G277" s="129"/>
      <c r="H277" s="129"/>
      <c r="I277" s="416">
        <f t="shared" si="61"/>
        <v>20</v>
      </c>
      <c r="J277" s="414"/>
      <c r="K277" s="414"/>
      <c r="L277" s="414">
        <v>20</v>
      </c>
      <c r="M277" s="423"/>
      <c r="N277" s="414"/>
      <c r="O277" s="416">
        <f t="shared" si="60"/>
        <v>20</v>
      </c>
      <c r="P277" s="472"/>
      <c r="Q277" s="472"/>
      <c r="R277" s="472">
        <v>20</v>
      </c>
      <c r="S277" s="472"/>
      <c r="T277" s="423"/>
    </row>
    <row r="278" spans="1:20" s="305" customFormat="1" ht="47.25" x14ac:dyDescent="0.25">
      <c r="A278" s="298"/>
      <c r="B278" s="308" t="s">
        <v>562</v>
      </c>
      <c r="C278" s="470">
        <f t="shared" si="62"/>
        <v>0</v>
      </c>
      <c r="D278" s="429">
        <f>SUM(D279)</f>
        <v>0</v>
      </c>
      <c r="E278" s="429">
        <f>SUM(E279)</f>
        <v>0</v>
      </c>
      <c r="F278" s="429">
        <f>SUM(F279)</f>
        <v>0</v>
      </c>
      <c r="G278" s="429"/>
      <c r="H278" s="429">
        <f>SUM(H279)</f>
        <v>0</v>
      </c>
      <c r="I278" s="470">
        <f t="shared" si="61"/>
        <v>0</v>
      </c>
      <c r="J278" s="440">
        <f>SUM(J279)</f>
        <v>0</v>
      </c>
      <c r="K278" s="440">
        <f>SUM(K279)</f>
        <v>0</v>
      </c>
      <c r="L278" s="440">
        <f>SUM(L279)</f>
        <v>0</v>
      </c>
      <c r="M278" s="471"/>
      <c r="N278" s="440">
        <f>SUM(N279)</f>
        <v>0</v>
      </c>
      <c r="O278" s="470">
        <f t="shared" si="60"/>
        <v>0</v>
      </c>
      <c r="P278" s="440">
        <f>SUM(P279)</f>
        <v>0</v>
      </c>
      <c r="Q278" s="440">
        <f>SUM(Q279)</f>
        <v>0</v>
      </c>
      <c r="R278" s="440">
        <f>SUM(R279)</f>
        <v>0</v>
      </c>
      <c r="S278" s="471"/>
      <c r="T278" s="440">
        <f>SUM(T279)</f>
        <v>0</v>
      </c>
    </row>
    <row r="279" spans="1:20" s="8" customFormat="1" ht="31.5" x14ac:dyDescent="0.25">
      <c r="A279" s="272"/>
      <c r="B279" s="396" t="s">
        <v>563</v>
      </c>
      <c r="C279" s="416">
        <f t="shared" si="62"/>
        <v>0</v>
      </c>
      <c r="D279" s="474"/>
      <c r="E279" s="474"/>
      <c r="F279" s="474"/>
      <c r="G279" s="474"/>
      <c r="H279" s="474"/>
      <c r="I279" s="416">
        <f t="shared" si="61"/>
        <v>0</v>
      </c>
      <c r="J279" s="414"/>
      <c r="K279" s="414"/>
      <c r="L279" s="414"/>
      <c r="M279" s="423"/>
      <c r="N279" s="414"/>
      <c r="O279" s="416">
        <f t="shared" si="60"/>
        <v>0</v>
      </c>
      <c r="P279" s="423"/>
      <c r="Q279" s="423"/>
      <c r="R279" s="423"/>
      <c r="S279" s="423"/>
      <c r="T279" s="423"/>
    </row>
    <row r="280" spans="1:20" s="8" customFormat="1" ht="31.5" x14ac:dyDescent="0.25">
      <c r="A280" s="272"/>
      <c r="B280" s="313" t="s">
        <v>564</v>
      </c>
      <c r="C280" s="416">
        <f t="shared" si="62"/>
        <v>82849.8</v>
      </c>
      <c r="D280" s="438">
        <f>D281+D287</f>
        <v>0</v>
      </c>
      <c r="E280" s="438">
        <f>E281+E287</f>
        <v>0</v>
      </c>
      <c r="F280" s="438">
        <f>F281+F287</f>
        <v>82649.8</v>
      </c>
      <c r="G280" s="438"/>
      <c r="H280" s="438">
        <f>H281+H287</f>
        <v>200</v>
      </c>
      <c r="I280" s="416">
        <f t="shared" si="61"/>
        <v>94643.989999999991</v>
      </c>
      <c r="J280" s="438">
        <f>J281+J287</f>
        <v>0</v>
      </c>
      <c r="K280" s="438">
        <f>K281+K287</f>
        <v>0</v>
      </c>
      <c r="L280" s="438">
        <f>L281+L287</f>
        <v>94193.099999999991</v>
      </c>
      <c r="M280" s="423"/>
      <c r="N280" s="438">
        <f>N281+N287</f>
        <v>450.89</v>
      </c>
      <c r="O280" s="416">
        <f t="shared" si="60"/>
        <v>94643.989999999991</v>
      </c>
      <c r="P280" s="438">
        <f>P281+P287</f>
        <v>0</v>
      </c>
      <c r="Q280" s="438">
        <f>Q281+Q287</f>
        <v>0</v>
      </c>
      <c r="R280" s="438">
        <f>R281+R287</f>
        <v>94193.099999999991</v>
      </c>
      <c r="S280" s="423"/>
      <c r="T280" s="438">
        <f>T281+T287</f>
        <v>450.89</v>
      </c>
    </row>
    <row r="281" spans="1:20" s="305" customFormat="1" ht="31.5" x14ac:dyDescent="0.25">
      <c r="A281" s="298"/>
      <c r="B281" s="308" t="s">
        <v>565</v>
      </c>
      <c r="C281" s="470">
        <f t="shared" si="62"/>
        <v>82459.3</v>
      </c>
      <c r="D281" s="429">
        <f>SUM(D282:D285)</f>
        <v>0</v>
      </c>
      <c r="E281" s="429">
        <f>SUM(E282:E285)</f>
        <v>0</v>
      </c>
      <c r="F281" s="429">
        <f>SUM(F282:F285)</f>
        <v>82259.3</v>
      </c>
      <c r="G281" s="429"/>
      <c r="H281" s="429">
        <f>SUM(H282:H285)</f>
        <v>200</v>
      </c>
      <c r="I281" s="470">
        <f t="shared" si="61"/>
        <v>93388.489999999991</v>
      </c>
      <c r="J281" s="440">
        <f>SUM(J282:J285)</f>
        <v>0</v>
      </c>
      <c r="K281" s="440">
        <f>SUM(K282:K285)</f>
        <v>0</v>
      </c>
      <c r="L281" s="440">
        <f>SUM(L282:L286)</f>
        <v>92937.599999999991</v>
      </c>
      <c r="M281" s="471"/>
      <c r="N281" s="440">
        <f>SUM(N282:N285)</f>
        <v>450.89</v>
      </c>
      <c r="O281" s="470">
        <f>SUM(P281:T281)</f>
        <v>93388.489999999991</v>
      </c>
      <c r="P281" s="440">
        <f>SUM(P282:P285)</f>
        <v>0</v>
      </c>
      <c r="Q281" s="440">
        <f>SUM(Q282:Q285)</f>
        <v>0</v>
      </c>
      <c r="R281" s="440">
        <f>SUM(R282:R286)</f>
        <v>92937.599999999991</v>
      </c>
      <c r="S281" s="471"/>
      <c r="T281" s="440">
        <f>SUM(T282:T285)</f>
        <v>450.89</v>
      </c>
    </row>
    <row r="282" spans="1:20" s="8" customFormat="1" ht="31.5" x14ac:dyDescent="0.25">
      <c r="A282" s="272"/>
      <c r="B282" s="306" t="s">
        <v>542</v>
      </c>
      <c r="C282" s="416">
        <f t="shared" si="62"/>
        <v>82459.3</v>
      </c>
      <c r="D282" s="474"/>
      <c r="E282" s="474"/>
      <c r="F282" s="474">
        <v>82259.3</v>
      </c>
      <c r="G282" s="474"/>
      <c r="H282" s="474">
        <v>200</v>
      </c>
      <c r="I282" s="416">
        <f t="shared" si="61"/>
        <v>93023.31</v>
      </c>
      <c r="J282" s="414"/>
      <c r="K282" s="414"/>
      <c r="L282" s="414">
        <v>92572.42</v>
      </c>
      <c r="M282" s="423"/>
      <c r="N282" s="414">
        <v>450.89</v>
      </c>
      <c r="O282" s="416">
        <f t="shared" si="60"/>
        <v>93023.31</v>
      </c>
      <c r="P282" s="474"/>
      <c r="Q282" s="423"/>
      <c r="R282" s="414">
        <v>92572.42</v>
      </c>
      <c r="S282" s="423"/>
      <c r="T282" s="423">
        <v>450.89</v>
      </c>
    </row>
    <row r="283" spans="1:20" s="8" customFormat="1" ht="31.5" x14ac:dyDescent="0.25">
      <c r="A283" s="272"/>
      <c r="B283" s="306" t="s">
        <v>547</v>
      </c>
      <c r="C283" s="416">
        <f t="shared" si="62"/>
        <v>0</v>
      </c>
      <c r="D283" s="474"/>
      <c r="E283" s="474"/>
      <c r="F283" s="474"/>
      <c r="G283" s="474"/>
      <c r="H283" s="474"/>
      <c r="I283" s="416">
        <f t="shared" si="61"/>
        <v>350.48</v>
      </c>
      <c r="J283" s="414"/>
      <c r="K283" s="414"/>
      <c r="L283" s="414">
        <v>350.48</v>
      </c>
      <c r="M283" s="423"/>
      <c r="N283" s="414"/>
      <c r="O283" s="416">
        <f t="shared" si="60"/>
        <v>350.48</v>
      </c>
      <c r="P283" s="474"/>
      <c r="Q283" s="423"/>
      <c r="R283" s="414">
        <v>350.48</v>
      </c>
      <c r="S283" s="423"/>
      <c r="T283" s="423"/>
    </row>
    <row r="284" spans="1:20" s="8" customFormat="1" ht="47.25" x14ac:dyDescent="0.25">
      <c r="A284" s="272"/>
      <c r="B284" s="306" t="s">
        <v>550</v>
      </c>
      <c r="C284" s="416">
        <f t="shared" si="62"/>
        <v>0</v>
      </c>
      <c r="D284" s="474"/>
      <c r="E284" s="474"/>
      <c r="F284" s="474"/>
      <c r="G284" s="474"/>
      <c r="H284" s="474"/>
      <c r="I284" s="416">
        <f t="shared" si="61"/>
        <v>0</v>
      </c>
      <c r="J284" s="414"/>
      <c r="K284" s="414"/>
      <c r="L284" s="414"/>
      <c r="M284" s="423"/>
      <c r="N284" s="414"/>
      <c r="O284" s="416">
        <f t="shared" si="60"/>
        <v>0</v>
      </c>
      <c r="P284" s="474"/>
      <c r="Q284" s="414"/>
      <c r="R284" s="414"/>
      <c r="S284" s="423"/>
      <c r="T284" s="423"/>
    </row>
    <row r="285" spans="1:20" s="8" customFormat="1" ht="47.25" x14ac:dyDescent="0.25">
      <c r="A285" s="272"/>
      <c r="B285" s="395" t="s">
        <v>820</v>
      </c>
      <c r="C285" s="416">
        <f t="shared" si="62"/>
        <v>0</v>
      </c>
      <c r="D285" s="474"/>
      <c r="E285" s="474"/>
      <c r="F285" s="474"/>
      <c r="G285" s="474"/>
      <c r="H285" s="474"/>
      <c r="I285" s="416">
        <f t="shared" si="61"/>
        <v>14.7</v>
      </c>
      <c r="J285" s="414"/>
      <c r="K285" s="414"/>
      <c r="L285" s="414">
        <v>14.7</v>
      </c>
      <c r="M285" s="423"/>
      <c r="N285" s="414"/>
      <c r="O285" s="416">
        <f t="shared" si="60"/>
        <v>14.7</v>
      </c>
      <c r="P285" s="474"/>
      <c r="Q285" s="414"/>
      <c r="R285" s="414">
        <v>14.7</v>
      </c>
      <c r="S285" s="423"/>
      <c r="T285" s="423"/>
    </row>
    <row r="286" spans="1:20" s="8" customFormat="1" ht="47.25" x14ac:dyDescent="0.25">
      <c r="A286" s="272"/>
      <c r="B286" s="395" t="s">
        <v>823</v>
      </c>
      <c r="C286" s="470">
        <f t="shared" si="62"/>
        <v>0</v>
      </c>
      <c r="D286" s="474"/>
      <c r="E286" s="474"/>
      <c r="F286" s="474"/>
      <c r="G286" s="474"/>
      <c r="H286" s="474"/>
      <c r="I286" s="470">
        <f t="shared" si="61"/>
        <v>0</v>
      </c>
      <c r="J286" s="414"/>
      <c r="K286" s="414"/>
      <c r="L286" s="414">
        <v>0</v>
      </c>
      <c r="M286" s="423"/>
      <c r="N286" s="414"/>
      <c r="O286" s="470">
        <f t="shared" si="60"/>
        <v>0</v>
      </c>
      <c r="P286" s="474"/>
      <c r="Q286" s="414"/>
      <c r="R286" s="414">
        <v>0</v>
      </c>
      <c r="S286" s="423"/>
      <c r="T286" s="423"/>
    </row>
    <row r="287" spans="1:20" s="305" customFormat="1" ht="47.25" x14ac:dyDescent="0.25">
      <c r="A287" s="298"/>
      <c r="B287" s="308" t="s">
        <v>566</v>
      </c>
      <c r="C287" s="470">
        <f t="shared" si="62"/>
        <v>390.5</v>
      </c>
      <c r="D287" s="429">
        <f>SUM(D288:D297)</f>
        <v>0</v>
      </c>
      <c r="E287" s="429">
        <f>SUM(E288:E297)</f>
        <v>0</v>
      </c>
      <c r="F287" s="429">
        <f>SUM(F288:F297)</f>
        <v>390.5</v>
      </c>
      <c r="G287" s="429"/>
      <c r="H287" s="429">
        <f>SUM(H288:H297)</f>
        <v>0</v>
      </c>
      <c r="I287" s="470">
        <f t="shared" si="61"/>
        <v>1255.5</v>
      </c>
      <c r="J287" s="440">
        <f>SUM(J288:J297)</f>
        <v>0</v>
      </c>
      <c r="K287" s="440">
        <f>SUM(K288:K297)</f>
        <v>0</v>
      </c>
      <c r="L287" s="440">
        <f>SUM(L288:L297)</f>
        <v>1255.5</v>
      </c>
      <c r="M287" s="471"/>
      <c r="N287" s="440">
        <f>SUM(N288:N297)</f>
        <v>0</v>
      </c>
      <c r="O287" s="470">
        <f t="shared" si="60"/>
        <v>1255.5</v>
      </c>
      <c r="P287" s="440">
        <f>SUM(P288:P297)</f>
        <v>0</v>
      </c>
      <c r="Q287" s="440">
        <f>SUM(Q288:Q297)</f>
        <v>0</v>
      </c>
      <c r="R287" s="440">
        <f>SUM(R288:R297)</f>
        <v>1255.5</v>
      </c>
      <c r="S287" s="471"/>
      <c r="T287" s="440">
        <f>SUM(T288:T297)</f>
        <v>0</v>
      </c>
    </row>
    <row r="288" spans="1:20" s="8" customFormat="1" ht="31.5" x14ac:dyDescent="0.25">
      <c r="A288" s="272"/>
      <c r="B288" s="306" t="s">
        <v>567</v>
      </c>
      <c r="C288" s="416">
        <f t="shared" si="62"/>
        <v>80</v>
      </c>
      <c r="D288" s="474"/>
      <c r="E288" s="474"/>
      <c r="F288" s="474">
        <v>80</v>
      </c>
      <c r="G288" s="474"/>
      <c r="H288" s="474"/>
      <c r="I288" s="416">
        <f t="shared" si="61"/>
        <v>80</v>
      </c>
      <c r="J288" s="414"/>
      <c r="K288" s="414"/>
      <c r="L288" s="474">
        <v>80</v>
      </c>
      <c r="M288" s="423"/>
      <c r="N288" s="414"/>
      <c r="O288" s="416">
        <f t="shared" si="60"/>
        <v>80</v>
      </c>
      <c r="P288" s="423"/>
      <c r="Q288" s="423"/>
      <c r="R288" s="423">
        <v>80</v>
      </c>
      <c r="S288" s="423"/>
      <c r="T288" s="423"/>
    </row>
    <row r="289" spans="1:20" s="8" customFormat="1" x14ac:dyDescent="0.25">
      <c r="A289" s="272"/>
      <c r="B289" s="306" t="s">
        <v>568</v>
      </c>
      <c r="C289" s="416">
        <f t="shared" si="62"/>
        <v>30.5</v>
      </c>
      <c r="D289" s="129"/>
      <c r="E289" s="129"/>
      <c r="F289" s="129">
        <v>30.5</v>
      </c>
      <c r="G289" s="129"/>
      <c r="H289" s="129"/>
      <c r="I289" s="416">
        <f t="shared" si="61"/>
        <v>30.5</v>
      </c>
      <c r="J289" s="414"/>
      <c r="K289" s="414"/>
      <c r="L289" s="129">
        <v>30.5</v>
      </c>
      <c r="M289" s="423"/>
      <c r="N289" s="414"/>
      <c r="O289" s="416">
        <f t="shared" si="60"/>
        <v>30.5</v>
      </c>
      <c r="P289" s="423"/>
      <c r="Q289" s="423"/>
      <c r="R289" s="423">
        <v>30.5</v>
      </c>
      <c r="S289" s="423"/>
      <c r="T289" s="423"/>
    </row>
    <row r="290" spans="1:20" s="8" customFormat="1" ht="31.5" x14ac:dyDescent="0.25">
      <c r="A290" s="272"/>
      <c r="B290" s="306" t="s">
        <v>569</v>
      </c>
      <c r="C290" s="416">
        <f t="shared" si="62"/>
        <v>70</v>
      </c>
      <c r="D290" s="129"/>
      <c r="E290" s="129"/>
      <c r="F290" s="129">
        <v>70</v>
      </c>
      <c r="G290" s="129"/>
      <c r="H290" s="129"/>
      <c r="I290" s="416">
        <f t="shared" si="61"/>
        <v>70</v>
      </c>
      <c r="J290" s="414"/>
      <c r="K290" s="414"/>
      <c r="L290" s="129">
        <v>70</v>
      </c>
      <c r="M290" s="423"/>
      <c r="N290" s="414"/>
      <c r="O290" s="416">
        <f t="shared" si="60"/>
        <v>70</v>
      </c>
      <c r="P290" s="423"/>
      <c r="Q290" s="423"/>
      <c r="R290" s="423">
        <v>70</v>
      </c>
      <c r="S290" s="423"/>
      <c r="T290" s="423"/>
    </row>
    <row r="291" spans="1:20" s="8" customFormat="1" x14ac:dyDescent="0.25">
      <c r="A291" s="272"/>
      <c r="B291" s="306" t="s">
        <v>570</v>
      </c>
      <c r="C291" s="416">
        <f t="shared" si="62"/>
        <v>20</v>
      </c>
      <c r="D291" s="129"/>
      <c r="E291" s="129"/>
      <c r="F291" s="129">
        <v>20</v>
      </c>
      <c r="G291" s="129"/>
      <c r="H291" s="129"/>
      <c r="I291" s="416">
        <f t="shared" si="61"/>
        <v>20</v>
      </c>
      <c r="J291" s="414"/>
      <c r="K291" s="414"/>
      <c r="L291" s="129">
        <v>20</v>
      </c>
      <c r="M291" s="423"/>
      <c r="N291" s="414"/>
      <c r="O291" s="416">
        <f t="shared" si="60"/>
        <v>20</v>
      </c>
      <c r="P291" s="423"/>
      <c r="Q291" s="423"/>
      <c r="R291" s="423">
        <v>20</v>
      </c>
      <c r="S291" s="423"/>
      <c r="T291" s="423"/>
    </row>
    <row r="292" spans="1:20" s="8" customFormat="1" ht="31.5" x14ac:dyDescent="0.25">
      <c r="A292" s="272"/>
      <c r="B292" s="306" t="s">
        <v>571</v>
      </c>
      <c r="C292" s="416">
        <f t="shared" si="62"/>
        <v>30</v>
      </c>
      <c r="D292" s="129"/>
      <c r="E292" s="129"/>
      <c r="F292" s="129">
        <v>30</v>
      </c>
      <c r="G292" s="129"/>
      <c r="H292" s="129"/>
      <c r="I292" s="416">
        <f t="shared" si="61"/>
        <v>30</v>
      </c>
      <c r="J292" s="414"/>
      <c r="K292" s="414"/>
      <c r="L292" s="129">
        <v>30</v>
      </c>
      <c r="M292" s="423"/>
      <c r="N292" s="414"/>
      <c r="O292" s="416">
        <f t="shared" si="60"/>
        <v>30</v>
      </c>
      <c r="P292" s="423"/>
      <c r="Q292" s="423"/>
      <c r="R292" s="423">
        <v>30</v>
      </c>
      <c r="S292" s="423"/>
      <c r="T292" s="423"/>
    </row>
    <row r="293" spans="1:20" s="8" customFormat="1" ht="63" x14ac:dyDescent="0.25">
      <c r="A293" s="272"/>
      <c r="B293" s="17" t="s">
        <v>572</v>
      </c>
      <c r="C293" s="416">
        <f t="shared" si="62"/>
        <v>0</v>
      </c>
      <c r="D293" s="414"/>
      <c r="E293" s="414"/>
      <c r="F293" s="414"/>
      <c r="G293" s="414"/>
      <c r="H293" s="414"/>
      <c r="I293" s="416">
        <f t="shared" si="61"/>
        <v>200</v>
      </c>
      <c r="J293" s="414"/>
      <c r="K293" s="414"/>
      <c r="L293" s="414">
        <v>200</v>
      </c>
      <c r="M293" s="423"/>
      <c r="N293" s="414"/>
      <c r="O293" s="416">
        <f t="shared" si="60"/>
        <v>200</v>
      </c>
      <c r="P293" s="423"/>
      <c r="Q293" s="423"/>
      <c r="R293" s="423">
        <v>200</v>
      </c>
      <c r="S293" s="423"/>
      <c r="T293" s="423"/>
    </row>
    <row r="294" spans="1:20" s="8" customFormat="1" ht="31.5" x14ac:dyDescent="0.25">
      <c r="A294" s="272"/>
      <c r="B294" s="306" t="s">
        <v>573</v>
      </c>
      <c r="C294" s="416">
        <f t="shared" si="62"/>
        <v>100</v>
      </c>
      <c r="D294" s="414"/>
      <c r="E294" s="414"/>
      <c r="F294" s="414">
        <v>100</v>
      </c>
      <c r="G294" s="414"/>
      <c r="H294" s="414"/>
      <c r="I294" s="416">
        <f t="shared" si="61"/>
        <v>95</v>
      </c>
      <c r="J294" s="414"/>
      <c r="K294" s="414"/>
      <c r="L294" s="414">
        <v>95</v>
      </c>
      <c r="M294" s="423"/>
      <c r="N294" s="414"/>
      <c r="O294" s="416">
        <f t="shared" si="60"/>
        <v>95</v>
      </c>
      <c r="P294" s="423"/>
      <c r="Q294" s="423"/>
      <c r="R294" s="423">
        <v>95</v>
      </c>
      <c r="S294" s="423"/>
      <c r="T294" s="423"/>
    </row>
    <row r="295" spans="1:20" s="8" customFormat="1" ht="31.5" x14ac:dyDescent="0.25">
      <c r="A295" s="272"/>
      <c r="B295" s="306" t="s">
        <v>1057</v>
      </c>
      <c r="C295" s="416">
        <f t="shared" si="62"/>
        <v>0</v>
      </c>
      <c r="D295" s="414"/>
      <c r="E295" s="414"/>
      <c r="F295" s="414"/>
      <c r="G295" s="414"/>
      <c r="H295" s="414"/>
      <c r="I295" s="416">
        <f t="shared" si="61"/>
        <v>20</v>
      </c>
      <c r="J295" s="414"/>
      <c r="K295" s="414"/>
      <c r="L295" s="414">
        <v>20</v>
      </c>
      <c r="M295" s="423"/>
      <c r="N295" s="414"/>
      <c r="O295" s="416">
        <f t="shared" si="60"/>
        <v>20</v>
      </c>
      <c r="P295" s="423"/>
      <c r="Q295" s="423"/>
      <c r="R295" s="423">
        <v>20</v>
      </c>
      <c r="S295" s="423"/>
      <c r="T295" s="423"/>
    </row>
    <row r="296" spans="1:20" s="8" customFormat="1" ht="47.25" x14ac:dyDescent="0.25">
      <c r="A296" s="272"/>
      <c r="B296" s="17" t="s">
        <v>575</v>
      </c>
      <c r="C296" s="416">
        <f t="shared" si="62"/>
        <v>60</v>
      </c>
      <c r="D296" s="414"/>
      <c r="E296" s="414"/>
      <c r="F296" s="414">
        <v>60</v>
      </c>
      <c r="G296" s="414"/>
      <c r="H296" s="414"/>
      <c r="I296" s="416">
        <f t="shared" si="61"/>
        <v>60</v>
      </c>
      <c r="J296" s="414"/>
      <c r="K296" s="414"/>
      <c r="L296" s="414">
        <v>60</v>
      </c>
      <c r="M296" s="423"/>
      <c r="N296" s="414"/>
      <c r="O296" s="416">
        <f t="shared" si="60"/>
        <v>60</v>
      </c>
      <c r="P296" s="423"/>
      <c r="Q296" s="423"/>
      <c r="R296" s="423">
        <v>60</v>
      </c>
      <c r="S296" s="423"/>
      <c r="T296" s="423"/>
    </row>
    <row r="297" spans="1:20" s="8" customFormat="1" ht="31.5" x14ac:dyDescent="0.25">
      <c r="A297" s="272"/>
      <c r="B297" s="17" t="s">
        <v>578</v>
      </c>
      <c r="C297" s="416">
        <f t="shared" si="62"/>
        <v>0</v>
      </c>
      <c r="D297" s="474"/>
      <c r="E297" s="474"/>
      <c r="F297" s="474"/>
      <c r="G297" s="474"/>
      <c r="H297" s="474"/>
      <c r="I297" s="416">
        <f t="shared" si="61"/>
        <v>650</v>
      </c>
      <c r="J297" s="414"/>
      <c r="K297" s="414"/>
      <c r="L297" s="414">
        <v>650</v>
      </c>
      <c r="M297" s="423"/>
      <c r="N297" s="414"/>
      <c r="O297" s="416">
        <f t="shared" si="60"/>
        <v>650</v>
      </c>
      <c r="P297" s="423"/>
      <c r="Q297" s="423"/>
      <c r="R297" s="423">
        <v>650</v>
      </c>
      <c r="S297" s="423"/>
      <c r="T297" s="423"/>
    </row>
    <row r="298" spans="1:20" s="8" customFormat="1" ht="31.5" x14ac:dyDescent="0.25">
      <c r="A298" s="272"/>
      <c r="B298" s="313" t="s">
        <v>579</v>
      </c>
      <c r="C298" s="416">
        <f t="shared" si="62"/>
        <v>6664</v>
      </c>
      <c r="D298" s="438">
        <f>D299+D302+D303+D304</f>
        <v>0</v>
      </c>
      <c r="E298" s="438">
        <f>E299+E302+E303+E304</f>
        <v>6264</v>
      </c>
      <c r="F298" s="438">
        <f>F299+F302+F303+F304</f>
        <v>300</v>
      </c>
      <c r="G298" s="438"/>
      <c r="H298" s="438">
        <f>H299+H302+H303+H304</f>
        <v>100</v>
      </c>
      <c r="I298" s="416">
        <f t="shared" si="61"/>
        <v>7192</v>
      </c>
      <c r="J298" s="438">
        <f>J299+J302+J303+J304</f>
        <v>0</v>
      </c>
      <c r="K298" s="438">
        <f>K299+K302+K303+K304</f>
        <v>6912</v>
      </c>
      <c r="L298" s="438">
        <f>L299+L302+L303+L304</f>
        <v>280</v>
      </c>
      <c r="M298" s="423"/>
      <c r="N298" s="438">
        <f>N299+N302+N303+N304</f>
        <v>0</v>
      </c>
      <c r="O298" s="416">
        <f t="shared" si="60"/>
        <v>6775.11</v>
      </c>
      <c r="P298" s="438">
        <f>P299+P302+P303+P304</f>
        <v>0</v>
      </c>
      <c r="Q298" s="438">
        <f>Q299+Q302+Q303+Q304</f>
        <v>6495.11</v>
      </c>
      <c r="R298" s="438">
        <f>R299+R302+R303+R304</f>
        <v>280</v>
      </c>
      <c r="S298" s="423"/>
      <c r="T298" s="438">
        <f>T299+T302+T303+T304</f>
        <v>0</v>
      </c>
    </row>
    <row r="299" spans="1:20" s="305" customFormat="1" ht="31.5" x14ac:dyDescent="0.25">
      <c r="A299" s="298"/>
      <c r="B299" s="308" t="s">
        <v>580</v>
      </c>
      <c r="C299" s="470">
        <f t="shared" si="62"/>
        <v>400</v>
      </c>
      <c r="D299" s="429">
        <f>SUM(D300:D301)</f>
        <v>0</v>
      </c>
      <c r="E299" s="429">
        <f>SUM(E300:E301)</f>
        <v>0</v>
      </c>
      <c r="F299" s="429">
        <f>SUM(F300:F301)</f>
        <v>300</v>
      </c>
      <c r="G299" s="429"/>
      <c r="H299" s="429">
        <f>SUM(H300:H301)</f>
        <v>100</v>
      </c>
      <c r="I299" s="470">
        <f t="shared" si="61"/>
        <v>280</v>
      </c>
      <c r="J299" s="440">
        <f>SUM(J300:J301)</f>
        <v>0</v>
      </c>
      <c r="K299" s="440">
        <f>SUM(K300:K301)</f>
        <v>0</v>
      </c>
      <c r="L299" s="440">
        <f>SUM(L300:L301)</f>
        <v>280</v>
      </c>
      <c r="M299" s="471"/>
      <c r="N299" s="440">
        <f>SUM(N300:N301)</f>
        <v>0</v>
      </c>
      <c r="O299" s="470">
        <f t="shared" si="60"/>
        <v>280</v>
      </c>
      <c r="P299" s="440">
        <f>SUM(P300:P301)</f>
        <v>0</v>
      </c>
      <c r="Q299" s="440">
        <f>SUM(Q300:Q301)</f>
        <v>0</v>
      </c>
      <c r="R299" s="440">
        <f>SUM(R300:R301)</f>
        <v>280</v>
      </c>
      <c r="S299" s="471"/>
      <c r="T299" s="440">
        <f>SUM(T300:T301)</f>
        <v>0</v>
      </c>
    </row>
    <row r="300" spans="1:20" s="8" customFormat="1" ht="31.5" x14ac:dyDescent="0.25">
      <c r="A300" s="272"/>
      <c r="B300" s="306" t="s">
        <v>581</v>
      </c>
      <c r="C300" s="416">
        <f t="shared" si="62"/>
        <v>0</v>
      </c>
      <c r="D300" s="129"/>
      <c r="E300" s="129"/>
      <c r="F300" s="129"/>
      <c r="G300" s="129"/>
      <c r="H300" s="129"/>
      <c r="I300" s="416">
        <f t="shared" si="61"/>
        <v>0</v>
      </c>
      <c r="J300" s="414"/>
      <c r="K300" s="414"/>
      <c r="L300" s="414"/>
      <c r="M300" s="423"/>
      <c r="N300" s="414"/>
      <c r="O300" s="416">
        <f t="shared" si="60"/>
        <v>0</v>
      </c>
      <c r="P300" s="423"/>
      <c r="Q300" s="423"/>
      <c r="R300" s="423"/>
      <c r="S300" s="423"/>
      <c r="T300" s="423"/>
    </row>
    <row r="301" spans="1:20" s="8" customFormat="1" ht="47.25" x14ac:dyDescent="0.25">
      <c r="A301" s="272"/>
      <c r="B301" s="396" t="s">
        <v>582</v>
      </c>
      <c r="C301" s="416">
        <f t="shared" si="62"/>
        <v>400</v>
      </c>
      <c r="D301" s="414"/>
      <c r="E301" s="414"/>
      <c r="F301" s="414">
        <v>300</v>
      </c>
      <c r="G301" s="414"/>
      <c r="H301" s="414">
        <v>100</v>
      </c>
      <c r="I301" s="416">
        <f t="shared" si="61"/>
        <v>280</v>
      </c>
      <c r="J301" s="414"/>
      <c r="K301" s="414"/>
      <c r="L301" s="414">
        <v>280</v>
      </c>
      <c r="M301" s="423"/>
      <c r="N301" s="414"/>
      <c r="O301" s="416">
        <f t="shared" si="60"/>
        <v>280</v>
      </c>
      <c r="P301" s="423"/>
      <c r="Q301" s="423"/>
      <c r="R301" s="423">
        <v>280</v>
      </c>
      <c r="S301" s="423"/>
      <c r="T301" s="423"/>
    </row>
    <row r="302" spans="1:20" s="305" customFormat="1" ht="47.25" x14ac:dyDescent="0.25">
      <c r="A302" s="298"/>
      <c r="B302" s="308" t="s">
        <v>583</v>
      </c>
      <c r="C302" s="470">
        <f t="shared" si="62"/>
        <v>0</v>
      </c>
      <c r="D302" s="429"/>
      <c r="E302" s="429"/>
      <c r="F302" s="429"/>
      <c r="G302" s="429"/>
      <c r="H302" s="429"/>
      <c r="I302" s="470">
        <f t="shared" si="61"/>
        <v>0</v>
      </c>
      <c r="J302" s="440"/>
      <c r="K302" s="440"/>
      <c r="L302" s="440"/>
      <c r="M302" s="471"/>
      <c r="N302" s="440"/>
      <c r="O302" s="470">
        <f t="shared" si="60"/>
        <v>0</v>
      </c>
      <c r="P302" s="440"/>
      <c r="Q302" s="440"/>
      <c r="R302" s="440"/>
      <c r="S302" s="471"/>
      <c r="T302" s="440"/>
    </row>
    <row r="303" spans="1:20" s="305" customFormat="1" x14ac:dyDescent="0.25">
      <c r="A303" s="298"/>
      <c r="B303" s="308" t="s">
        <v>584</v>
      </c>
      <c r="C303" s="470">
        <f t="shared" si="62"/>
        <v>0</v>
      </c>
      <c r="D303" s="429"/>
      <c r="E303" s="429"/>
      <c r="F303" s="429"/>
      <c r="G303" s="429"/>
      <c r="H303" s="429"/>
      <c r="I303" s="470">
        <f t="shared" si="61"/>
        <v>0</v>
      </c>
      <c r="J303" s="440"/>
      <c r="K303" s="440"/>
      <c r="L303" s="440"/>
      <c r="M303" s="471"/>
      <c r="N303" s="440"/>
      <c r="O303" s="470">
        <f t="shared" si="60"/>
        <v>0</v>
      </c>
      <c r="P303" s="440"/>
      <c r="Q303" s="440"/>
      <c r="R303" s="440"/>
      <c r="S303" s="471"/>
      <c r="T303" s="440"/>
    </row>
    <row r="304" spans="1:20" s="305" customFormat="1" x14ac:dyDescent="0.25">
      <c r="A304" s="298"/>
      <c r="B304" s="308" t="s">
        <v>585</v>
      </c>
      <c r="C304" s="470">
        <f t="shared" si="62"/>
        <v>6264</v>
      </c>
      <c r="D304" s="429">
        <f>SUM(D305)</f>
        <v>0</v>
      </c>
      <c r="E304" s="429">
        <f>SUM(E305)</f>
        <v>6264</v>
      </c>
      <c r="F304" s="429">
        <f>SUM(F305)</f>
        <v>0</v>
      </c>
      <c r="G304" s="429"/>
      <c r="H304" s="429">
        <f>SUM(H305)</f>
        <v>0</v>
      </c>
      <c r="I304" s="470">
        <f t="shared" si="61"/>
        <v>6912</v>
      </c>
      <c r="J304" s="440">
        <f>SUM(J305)</f>
        <v>0</v>
      </c>
      <c r="K304" s="440">
        <f>SUM(K305)</f>
        <v>6912</v>
      </c>
      <c r="L304" s="440">
        <f>SUM(L305)</f>
        <v>0</v>
      </c>
      <c r="M304" s="471"/>
      <c r="N304" s="440">
        <f>SUM(N305)</f>
        <v>0</v>
      </c>
      <c r="O304" s="470">
        <f t="shared" si="60"/>
        <v>6495.11</v>
      </c>
      <c r="P304" s="440">
        <f>SUM(P305)</f>
        <v>0</v>
      </c>
      <c r="Q304" s="440">
        <f>SUM(Q305)</f>
        <v>6495.11</v>
      </c>
      <c r="R304" s="440">
        <f>SUM(R305)</f>
        <v>0</v>
      </c>
      <c r="S304" s="471"/>
      <c r="T304" s="440">
        <f>SUM(T305)</f>
        <v>0</v>
      </c>
    </row>
    <row r="305" spans="1:20" s="8" customFormat="1" ht="78.75" x14ac:dyDescent="0.25">
      <c r="A305" s="272"/>
      <c r="B305" s="396" t="s">
        <v>586</v>
      </c>
      <c r="C305" s="416">
        <f t="shared" si="62"/>
        <v>6264</v>
      </c>
      <c r="D305" s="414"/>
      <c r="E305" s="414">
        <v>6264</v>
      </c>
      <c r="F305" s="414"/>
      <c r="G305" s="414"/>
      <c r="H305" s="414"/>
      <c r="I305" s="416">
        <f t="shared" si="61"/>
        <v>6912</v>
      </c>
      <c r="J305" s="414"/>
      <c r="K305" s="414">
        <v>6912</v>
      </c>
      <c r="L305" s="414"/>
      <c r="M305" s="423"/>
      <c r="N305" s="414"/>
      <c r="O305" s="416">
        <f t="shared" si="60"/>
        <v>6495.11</v>
      </c>
      <c r="P305" s="423"/>
      <c r="Q305" s="423">
        <v>6495.11</v>
      </c>
      <c r="R305" s="423"/>
      <c r="S305" s="423"/>
      <c r="T305" s="423"/>
    </row>
    <row r="306" spans="1:20" s="8" customFormat="1" x14ac:dyDescent="0.25">
      <c r="A306" s="272"/>
      <c r="B306" s="313" t="s">
        <v>587</v>
      </c>
      <c r="C306" s="416">
        <f t="shared" si="62"/>
        <v>3271</v>
      </c>
      <c r="D306" s="438">
        <f>D307+D310</f>
        <v>0</v>
      </c>
      <c r="E306" s="438">
        <f>E307+E310</f>
        <v>0</v>
      </c>
      <c r="F306" s="438">
        <f>F307+F310</f>
        <v>3271</v>
      </c>
      <c r="G306" s="438"/>
      <c r="H306" s="438">
        <f>H307+H310</f>
        <v>0</v>
      </c>
      <c r="I306" s="416">
        <f t="shared" si="61"/>
        <v>8416.0600000000013</v>
      </c>
      <c r="J306" s="438">
        <f>J307+J310</f>
        <v>0</v>
      </c>
      <c r="K306" s="438">
        <f>K307+K310</f>
        <v>5201.76</v>
      </c>
      <c r="L306" s="438">
        <f>L307+L310</f>
        <v>3214.3</v>
      </c>
      <c r="M306" s="423"/>
      <c r="N306" s="438">
        <f>N307+N310</f>
        <v>0</v>
      </c>
      <c r="O306" s="416">
        <f t="shared" si="60"/>
        <v>8408.3000000000011</v>
      </c>
      <c r="P306" s="438">
        <f>P307+P310</f>
        <v>0</v>
      </c>
      <c r="Q306" s="438">
        <f>Q307+Q310</f>
        <v>5194.7800000000007</v>
      </c>
      <c r="R306" s="438">
        <f>R307+R310</f>
        <v>3213.52</v>
      </c>
      <c r="S306" s="423"/>
      <c r="T306" s="438">
        <f>T307+T310</f>
        <v>0</v>
      </c>
    </row>
    <row r="307" spans="1:20" s="305" customFormat="1" ht="47.25" x14ac:dyDescent="0.25">
      <c r="A307" s="298"/>
      <c r="B307" s="308" t="s">
        <v>588</v>
      </c>
      <c r="C307" s="470">
        <f t="shared" si="62"/>
        <v>3071</v>
      </c>
      <c r="D307" s="440">
        <f>SUM(D308:D309)</f>
        <v>0</v>
      </c>
      <c r="E307" s="440">
        <f>SUM(E308:E309)</f>
        <v>0</v>
      </c>
      <c r="F307" s="440">
        <f>SUM(F308:F309)</f>
        <v>3071</v>
      </c>
      <c r="G307" s="440"/>
      <c r="H307" s="440">
        <f>SUM(H308:H309)</f>
        <v>0</v>
      </c>
      <c r="I307" s="470">
        <f t="shared" si="61"/>
        <v>6990.3</v>
      </c>
      <c r="J307" s="440">
        <f>SUM(J308:J309)</f>
        <v>0</v>
      </c>
      <c r="K307" s="440">
        <f>SUM(K308:K309)</f>
        <v>3919.3</v>
      </c>
      <c r="L307" s="440">
        <f>SUM(L308:L309)</f>
        <v>3071</v>
      </c>
      <c r="M307" s="471"/>
      <c r="N307" s="440">
        <f>SUM(N308:N309)</f>
        <v>0</v>
      </c>
      <c r="O307" s="470">
        <f t="shared" si="60"/>
        <v>6990.3</v>
      </c>
      <c r="P307" s="440">
        <f>SUM(P308:P309)</f>
        <v>0</v>
      </c>
      <c r="Q307" s="440">
        <f>SUM(Q308:Q309)</f>
        <v>3919.3</v>
      </c>
      <c r="R307" s="440">
        <f>SUM(R308:R309)</f>
        <v>3071</v>
      </c>
      <c r="S307" s="471"/>
      <c r="T307" s="440">
        <f>SUM(T308:T309)</f>
        <v>0</v>
      </c>
    </row>
    <row r="308" spans="1:20" s="8" customFormat="1" ht="47.25" x14ac:dyDescent="0.25">
      <c r="A308" s="272"/>
      <c r="B308" s="306" t="s">
        <v>589</v>
      </c>
      <c r="C308" s="416">
        <f t="shared" si="62"/>
        <v>3071</v>
      </c>
      <c r="D308" s="414"/>
      <c r="E308" s="414"/>
      <c r="F308" s="414">
        <v>3071</v>
      </c>
      <c r="G308" s="414"/>
      <c r="H308" s="414"/>
      <c r="I308" s="416">
        <f t="shared" si="61"/>
        <v>3071</v>
      </c>
      <c r="J308" s="414"/>
      <c r="K308" s="414"/>
      <c r="L308" s="414">
        <v>3071</v>
      </c>
      <c r="M308" s="423"/>
      <c r="N308" s="414"/>
      <c r="O308" s="416">
        <f t="shared" si="60"/>
        <v>3071</v>
      </c>
      <c r="P308" s="423"/>
      <c r="Q308" s="423"/>
      <c r="R308" s="423">
        <v>3071</v>
      </c>
      <c r="S308" s="423"/>
      <c r="T308" s="423"/>
    </row>
    <row r="309" spans="1:20" s="8" customFormat="1" ht="31.5" x14ac:dyDescent="0.25">
      <c r="A309" s="272"/>
      <c r="B309" s="306" t="s">
        <v>590</v>
      </c>
      <c r="C309" s="416">
        <f t="shared" si="62"/>
        <v>0</v>
      </c>
      <c r="D309" s="414"/>
      <c r="E309" s="414"/>
      <c r="F309" s="414"/>
      <c r="G309" s="414"/>
      <c r="H309" s="414"/>
      <c r="I309" s="416">
        <f t="shared" si="61"/>
        <v>3919.3</v>
      </c>
      <c r="J309" s="414"/>
      <c r="K309" s="414">
        <v>3919.3</v>
      </c>
      <c r="L309" s="414"/>
      <c r="M309" s="423"/>
      <c r="N309" s="414"/>
      <c r="O309" s="416">
        <f t="shared" si="60"/>
        <v>3919.3</v>
      </c>
      <c r="P309" s="423"/>
      <c r="Q309" s="423">
        <v>3919.3</v>
      </c>
      <c r="R309" s="423"/>
      <c r="S309" s="423"/>
      <c r="T309" s="423"/>
    </row>
    <row r="310" spans="1:20" s="305" customFormat="1" ht="31.5" x14ac:dyDescent="0.25">
      <c r="A310" s="298"/>
      <c r="B310" s="308" t="s">
        <v>591</v>
      </c>
      <c r="C310" s="470">
        <f t="shared" si="62"/>
        <v>200</v>
      </c>
      <c r="D310" s="440">
        <f>SUM(D311)</f>
        <v>0</v>
      </c>
      <c r="E310" s="440">
        <f>SUM(E311)</f>
        <v>0</v>
      </c>
      <c r="F310" s="440">
        <f>SUM(F311)</f>
        <v>200</v>
      </c>
      <c r="G310" s="440"/>
      <c r="H310" s="440">
        <f>SUM(H311)</f>
        <v>0</v>
      </c>
      <c r="I310" s="470">
        <f t="shared" si="61"/>
        <v>1425.76</v>
      </c>
      <c r="J310" s="440">
        <f>SUM(J311)</f>
        <v>0</v>
      </c>
      <c r="K310" s="440">
        <f>SUM(K311)</f>
        <v>1282.46</v>
      </c>
      <c r="L310" s="440">
        <f>SUM(L311)</f>
        <v>143.30000000000001</v>
      </c>
      <c r="M310" s="471"/>
      <c r="N310" s="440">
        <f>SUM(N311)</f>
        <v>0</v>
      </c>
      <c r="O310" s="470">
        <f t="shared" si="60"/>
        <v>1418</v>
      </c>
      <c r="P310" s="440">
        <f>P311</f>
        <v>0</v>
      </c>
      <c r="Q310" s="440">
        <f>Q311</f>
        <v>1275.48</v>
      </c>
      <c r="R310" s="440">
        <f>R311</f>
        <v>142.52000000000001</v>
      </c>
      <c r="S310" s="471"/>
      <c r="T310" s="440">
        <f>T311</f>
        <v>0</v>
      </c>
    </row>
    <row r="311" spans="1:20" s="8" customFormat="1" ht="31.5" x14ac:dyDescent="0.25">
      <c r="A311" s="272"/>
      <c r="B311" s="306" t="s">
        <v>591</v>
      </c>
      <c r="C311" s="416">
        <f t="shared" si="62"/>
        <v>200</v>
      </c>
      <c r="D311" s="414"/>
      <c r="E311" s="414"/>
      <c r="F311" s="414">
        <v>200</v>
      </c>
      <c r="G311" s="414"/>
      <c r="H311" s="414"/>
      <c r="I311" s="416">
        <f t="shared" si="61"/>
        <v>1425.76</v>
      </c>
      <c r="J311" s="414"/>
      <c r="K311" s="414">
        <v>1282.46</v>
      </c>
      <c r="L311" s="414">
        <v>143.30000000000001</v>
      </c>
      <c r="M311" s="423"/>
      <c r="N311" s="414"/>
      <c r="O311" s="416">
        <f t="shared" si="60"/>
        <v>1418</v>
      </c>
      <c r="P311" s="423"/>
      <c r="Q311" s="423">
        <v>1275.48</v>
      </c>
      <c r="R311" s="423">
        <v>142.52000000000001</v>
      </c>
      <c r="S311" s="423"/>
      <c r="T311" s="423"/>
    </row>
    <row r="312" spans="1:20" s="8" customFormat="1" ht="47.25" x14ac:dyDescent="0.25">
      <c r="A312" s="272"/>
      <c r="B312" s="313" t="s">
        <v>592</v>
      </c>
      <c r="C312" s="416">
        <f t="shared" si="62"/>
        <v>71517.41</v>
      </c>
      <c r="D312" s="438">
        <f>D313+D329</f>
        <v>0</v>
      </c>
      <c r="E312" s="438">
        <f>E313+E329</f>
        <v>60000</v>
      </c>
      <c r="F312" s="438">
        <f>F313+F329</f>
        <v>11517.41</v>
      </c>
      <c r="G312" s="438"/>
      <c r="H312" s="438">
        <f>H313+H329</f>
        <v>0</v>
      </c>
      <c r="I312" s="416">
        <f t="shared" si="61"/>
        <v>225284.36327999999</v>
      </c>
      <c r="J312" s="438">
        <f>J313+J329</f>
        <v>4145.1166499999999</v>
      </c>
      <c r="K312" s="438">
        <f>K313+K329</f>
        <v>152085.55233999999</v>
      </c>
      <c r="L312" s="438">
        <f>L313+L329</f>
        <v>69053.694289999985</v>
      </c>
      <c r="M312" s="423"/>
      <c r="N312" s="438">
        <f>N313+N329</f>
        <v>0</v>
      </c>
      <c r="O312" s="416">
        <f t="shared" si="60"/>
        <v>221485.85369000002</v>
      </c>
      <c r="P312" s="438">
        <f>P313+P329</f>
        <v>4145.1166499999999</v>
      </c>
      <c r="Q312" s="438">
        <f>Q313+Q329</f>
        <v>152085.55233999999</v>
      </c>
      <c r="R312" s="438">
        <f>R313+R329</f>
        <v>65255.184699999998</v>
      </c>
      <c r="S312" s="423"/>
      <c r="T312" s="438">
        <f>T313+T329</f>
        <v>0</v>
      </c>
    </row>
    <row r="313" spans="1:20" s="450" customFormat="1" ht="47.25" x14ac:dyDescent="0.25">
      <c r="A313" s="447"/>
      <c r="B313" s="397" t="s">
        <v>593</v>
      </c>
      <c r="C313" s="475">
        <f t="shared" si="62"/>
        <v>71137.41</v>
      </c>
      <c r="D313" s="445">
        <f>D314+D319+D322</f>
        <v>0</v>
      </c>
      <c r="E313" s="445">
        <f>E314+E319+E322</f>
        <v>60000</v>
      </c>
      <c r="F313" s="445">
        <f>F314+F319+F322</f>
        <v>11137.41</v>
      </c>
      <c r="G313" s="445"/>
      <c r="H313" s="445">
        <f>H314+H319+H322</f>
        <v>0</v>
      </c>
      <c r="I313" s="475">
        <f t="shared" si="61"/>
        <v>213223.94328000001</v>
      </c>
      <c r="J313" s="445">
        <f>J314+J319+J322</f>
        <v>4145.1166499999999</v>
      </c>
      <c r="K313" s="445">
        <f>K314+K319+K322</f>
        <v>152085.55233999999</v>
      </c>
      <c r="L313" s="445">
        <f>L314+L319+L322</f>
        <v>56993.274289999994</v>
      </c>
      <c r="M313" s="476"/>
      <c r="N313" s="445">
        <f>N314+N319+N322</f>
        <v>0</v>
      </c>
      <c r="O313" s="475">
        <f t="shared" ref="O313:O332" si="63">SUM(P313:T313)</f>
        <v>209425.43369000001</v>
      </c>
      <c r="P313" s="445">
        <f>P314+P319+P322</f>
        <v>4145.1166499999999</v>
      </c>
      <c r="Q313" s="445">
        <f>Q314+Q319+Q322</f>
        <v>152085.55233999999</v>
      </c>
      <c r="R313" s="445">
        <f>R314+R319+R322</f>
        <v>53194.7647</v>
      </c>
      <c r="S313" s="476"/>
      <c r="T313" s="445">
        <f>T314+T319+T322</f>
        <v>0</v>
      </c>
    </row>
    <row r="314" spans="1:20" s="305" customFormat="1" ht="47.25" x14ac:dyDescent="0.25">
      <c r="A314" s="298"/>
      <c r="B314" s="308" t="s">
        <v>594</v>
      </c>
      <c r="C314" s="470">
        <f t="shared" si="62"/>
        <v>64972.35</v>
      </c>
      <c r="D314" s="440">
        <f>SUM(D315:D317)</f>
        <v>0</v>
      </c>
      <c r="E314" s="440">
        <f>SUM(E315:E317)</f>
        <v>60000</v>
      </c>
      <c r="F314" s="440">
        <f>SUM(F315:F318)</f>
        <v>4972.3500000000004</v>
      </c>
      <c r="G314" s="440"/>
      <c r="H314" s="440">
        <f>SUM(H315:H317)</f>
        <v>0</v>
      </c>
      <c r="I314" s="470">
        <f t="shared" si="61"/>
        <v>195640.2</v>
      </c>
      <c r="J314" s="440">
        <f>SUM(J315:J317)</f>
        <v>0</v>
      </c>
      <c r="K314" s="440">
        <f>SUM(K315:K317)</f>
        <v>151980</v>
      </c>
      <c r="L314" s="440">
        <f>SUM(L315:L318)</f>
        <v>43660.2</v>
      </c>
      <c r="M314" s="471"/>
      <c r="N314" s="440">
        <f>SUM(N315:N317)</f>
        <v>0</v>
      </c>
      <c r="O314" s="470">
        <f t="shared" si="63"/>
        <v>195640.2</v>
      </c>
      <c r="P314" s="440">
        <f>SUM(P315:P317)</f>
        <v>0</v>
      </c>
      <c r="Q314" s="440">
        <f>SUM(Q315:Q317)</f>
        <v>151980</v>
      </c>
      <c r="R314" s="440">
        <f>SUM(R315:R318)</f>
        <v>43660.2</v>
      </c>
      <c r="S314" s="471"/>
      <c r="T314" s="440">
        <f>SUM(T315:T317)</f>
        <v>0</v>
      </c>
    </row>
    <row r="315" spans="1:20" s="8" customFormat="1" ht="78.75" x14ac:dyDescent="0.25">
      <c r="A315" s="272"/>
      <c r="B315" s="306" t="s">
        <v>814</v>
      </c>
      <c r="C315" s="416">
        <f t="shared" si="62"/>
        <v>61320</v>
      </c>
      <c r="D315" s="414"/>
      <c r="E315" s="414">
        <v>60000</v>
      </c>
      <c r="F315" s="414">
        <v>1320</v>
      </c>
      <c r="G315" s="414"/>
      <c r="H315" s="414"/>
      <c r="I315" s="416">
        <f t="shared" ref="I315:I332" si="64">SUM(J315:N315)</f>
        <v>156000</v>
      </c>
      <c r="J315" s="414"/>
      <c r="K315" s="414">
        <v>151980</v>
      </c>
      <c r="L315" s="414">
        <v>4020</v>
      </c>
      <c r="M315" s="423"/>
      <c r="N315" s="414"/>
      <c r="O315" s="416">
        <f t="shared" si="63"/>
        <v>156000</v>
      </c>
      <c r="P315" s="423"/>
      <c r="Q315" s="423">
        <v>151980</v>
      </c>
      <c r="R315" s="423">
        <v>4020</v>
      </c>
      <c r="S315" s="423"/>
      <c r="T315" s="423"/>
    </row>
    <row r="316" spans="1:20" s="8" customFormat="1" ht="31.5" x14ac:dyDescent="0.25">
      <c r="A316" s="272"/>
      <c r="B316" s="306" t="s">
        <v>824</v>
      </c>
      <c r="C316" s="416">
        <f t="shared" ref="C316:C333" si="65">SUM(D316:H316)</f>
        <v>0</v>
      </c>
      <c r="D316" s="414"/>
      <c r="E316" s="414"/>
      <c r="F316" s="414"/>
      <c r="G316" s="414"/>
      <c r="H316" s="414"/>
      <c r="I316" s="416">
        <f t="shared" si="64"/>
        <v>23000</v>
      </c>
      <c r="J316" s="414"/>
      <c r="K316" s="414"/>
      <c r="L316" s="414">
        <v>23000</v>
      </c>
      <c r="M316" s="423"/>
      <c r="N316" s="414"/>
      <c r="O316" s="416">
        <f t="shared" si="63"/>
        <v>23000</v>
      </c>
      <c r="P316" s="423"/>
      <c r="Q316" s="423"/>
      <c r="R316" s="423">
        <v>23000</v>
      </c>
      <c r="S316" s="423"/>
      <c r="T316" s="423"/>
    </row>
    <row r="317" spans="1:20" s="8" customFormat="1" ht="47.25" x14ac:dyDescent="0.25">
      <c r="A317" s="272"/>
      <c r="B317" s="398" t="s">
        <v>825</v>
      </c>
      <c r="C317" s="416">
        <f t="shared" si="65"/>
        <v>3052.35</v>
      </c>
      <c r="D317" s="414"/>
      <c r="E317" s="414"/>
      <c r="F317" s="414">
        <v>3052.35</v>
      </c>
      <c r="G317" s="414"/>
      <c r="H317" s="414"/>
      <c r="I317" s="416">
        <f t="shared" si="64"/>
        <v>15740.2</v>
      </c>
      <c r="J317" s="414"/>
      <c r="K317" s="414"/>
      <c r="L317" s="414">
        <v>15740.2</v>
      </c>
      <c r="M317" s="423"/>
      <c r="N317" s="414"/>
      <c r="O317" s="416">
        <f t="shared" si="63"/>
        <v>15740.2</v>
      </c>
      <c r="P317" s="423"/>
      <c r="Q317" s="423"/>
      <c r="R317" s="423">
        <v>15740.2</v>
      </c>
      <c r="S317" s="423"/>
      <c r="T317" s="423"/>
    </row>
    <row r="318" spans="1:20" s="8" customFormat="1" ht="31.5" x14ac:dyDescent="0.25">
      <c r="A318" s="272"/>
      <c r="B318" s="396" t="s">
        <v>563</v>
      </c>
      <c r="C318" s="470">
        <f t="shared" si="65"/>
        <v>600</v>
      </c>
      <c r="D318" s="414"/>
      <c r="E318" s="414"/>
      <c r="F318" s="414">
        <v>600</v>
      </c>
      <c r="G318" s="414"/>
      <c r="H318" s="414"/>
      <c r="I318" s="416">
        <f t="shared" si="64"/>
        <v>900</v>
      </c>
      <c r="J318" s="414"/>
      <c r="K318" s="414"/>
      <c r="L318" s="414">
        <v>900</v>
      </c>
      <c r="M318" s="423"/>
      <c r="N318" s="414"/>
      <c r="O318" s="416">
        <f t="shared" si="63"/>
        <v>900</v>
      </c>
      <c r="P318" s="423"/>
      <c r="Q318" s="423"/>
      <c r="R318" s="423">
        <v>900</v>
      </c>
      <c r="S318" s="423"/>
      <c r="T318" s="423"/>
    </row>
    <row r="319" spans="1:20" s="305" customFormat="1" x14ac:dyDescent="0.25">
      <c r="A319" s="298"/>
      <c r="B319" s="308" t="s">
        <v>595</v>
      </c>
      <c r="C319" s="470">
        <f t="shared" si="65"/>
        <v>2500</v>
      </c>
      <c r="D319" s="440">
        <f>SUM(D320:D321)</f>
        <v>0</v>
      </c>
      <c r="E319" s="440">
        <f>SUM(E320:E321)</f>
        <v>0</v>
      </c>
      <c r="F319" s="440">
        <f>SUM(F320:F321)</f>
        <v>2500</v>
      </c>
      <c r="G319" s="440"/>
      <c r="H319" s="440">
        <f>SUM(H320:H321)</f>
        <v>0</v>
      </c>
      <c r="I319" s="470">
        <f t="shared" si="64"/>
        <v>2875.93</v>
      </c>
      <c r="J319" s="440">
        <f>SUM(J320:J321)</f>
        <v>0</v>
      </c>
      <c r="K319" s="440">
        <f>SUM(K320:K321)</f>
        <v>0</v>
      </c>
      <c r="L319" s="440">
        <f>SUM(L320:L321)</f>
        <v>2875.93</v>
      </c>
      <c r="M319" s="471"/>
      <c r="N319" s="440">
        <f>SUM(N320:N321)</f>
        <v>0</v>
      </c>
      <c r="O319" s="470">
        <f t="shared" si="63"/>
        <v>119.66</v>
      </c>
      <c r="P319" s="440">
        <f>SUM(P320:P321)</f>
        <v>0</v>
      </c>
      <c r="Q319" s="440">
        <f>SUM(Q320:Q321)</f>
        <v>0</v>
      </c>
      <c r="R319" s="440">
        <f>SUM(R320:R321)</f>
        <v>119.66</v>
      </c>
      <c r="S319" s="471"/>
      <c r="T319" s="440">
        <f>SUM(T320:T321)</f>
        <v>0</v>
      </c>
    </row>
    <row r="320" spans="1:20" s="8" customFormat="1" ht="47.25" x14ac:dyDescent="0.25">
      <c r="A320" s="272"/>
      <c r="B320" s="306" t="s">
        <v>815</v>
      </c>
      <c r="C320" s="416">
        <f t="shared" si="65"/>
        <v>2500</v>
      </c>
      <c r="D320" s="414"/>
      <c r="E320" s="414"/>
      <c r="F320" s="414">
        <v>2500</v>
      </c>
      <c r="G320" s="414"/>
      <c r="H320" s="414"/>
      <c r="I320" s="416">
        <f t="shared" si="64"/>
        <v>2500</v>
      </c>
      <c r="J320" s="414"/>
      <c r="K320" s="414"/>
      <c r="L320" s="414">
        <v>2500</v>
      </c>
      <c r="M320" s="423"/>
      <c r="N320" s="414"/>
      <c r="O320" s="416">
        <f t="shared" si="63"/>
        <v>0</v>
      </c>
      <c r="P320" s="423"/>
      <c r="Q320" s="423"/>
      <c r="R320" s="423"/>
      <c r="S320" s="423"/>
      <c r="T320" s="423"/>
    </row>
    <row r="321" spans="1:209" s="8" customFormat="1" ht="47.25" x14ac:dyDescent="0.25">
      <c r="A321" s="272"/>
      <c r="B321" s="306" t="s">
        <v>596</v>
      </c>
      <c r="C321" s="416">
        <f t="shared" si="65"/>
        <v>0</v>
      </c>
      <c r="D321" s="414"/>
      <c r="E321" s="414"/>
      <c r="F321" s="414"/>
      <c r="G321" s="414"/>
      <c r="H321" s="414"/>
      <c r="I321" s="416">
        <f t="shared" si="64"/>
        <v>375.93</v>
      </c>
      <c r="J321" s="414"/>
      <c r="K321" s="414"/>
      <c r="L321" s="414">
        <v>375.93</v>
      </c>
      <c r="M321" s="423"/>
      <c r="N321" s="414"/>
      <c r="O321" s="416">
        <f t="shared" si="63"/>
        <v>119.66</v>
      </c>
      <c r="P321" s="423"/>
      <c r="Q321" s="423"/>
      <c r="R321" s="423">
        <v>119.66</v>
      </c>
      <c r="S321" s="423"/>
      <c r="T321" s="423"/>
    </row>
    <row r="322" spans="1:209" s="305" customFormat="1" ht="31.5" x14ac:dyDescent="0.25">
      <c r="A322" s="298"/>
      <c r="B322" s="308" t="s">
        <v>597</v>
      </c>
      <c r="C322" s="470">
        <f t="shared" si="65"/>
        <v>3665.0600000000004</v>
      </c>
      <c r="D322" s="440">
        <f>SUM(D323:D328)</f>
        <v>0</v>
      </c>
      <c r="E322" s="440">
        <f>SUM(E323:E328)</f>
        <v>0</v>
      </c>
      <c r="F322" s="440">
        <f>SUM(F323:F328)</f>
        <v>3665.0600000000004</v>
      </c>
      <c r="G322" s="440"/>
      <c r="H322" s="440">
        <f>SUM(H323:H328)</f>
        <v>0</v>
      </c>
      <c r="I322" s="470">
        <f t="shared" si="64"/>
        <v>14707.813279999998</v>
      </c>
      <c r="J322" s="440">
        <f>SUM(J323:J328)</f>
        <v>4145.1166499999999</v>
      </c>
      <c r="K322" s="440">
        <f>SUM(K323:K328)</f>
        <v>105.55234</v>
      </c>
      <c r="L322" s="440">
        <f>SUM(L323:L328)</f>
        <v>10457.144289999998</v>
      </c>
      <c r="M322" s="471"/>
      <c r="N322" s="440">
        <f>SUM(N323:N328)</f>
        <v>0</v>
      </c>
      <c r="O322" s="470">
        <f t="shared" si="63"/>
        <v>13665.573689999999</v>
      </c>
      <c r="P322" s="440">
        <f>SUM(P323:P328)</f>
        <v>4145.1166499999999</v>
      </c>
      <c r="Q322" s="440">
        <f>SUM(Q323:Q328)</f>
        <v>105.55234</v>
      </c>
      <c r="R322" s="440">
        <f>SUM(R323:R328)</f>
        <v>9414.9046999999991</v>
      </c>
      <c r="S322" s="471"/>
      <c r="T322" s="440">
        <f>SUM(T323:T328)</f>
        <v>0</v>
      </c>
    </row>
    <row r="323" spans="1:209" s="8" customFormat="1" x14ac:dyDescent="0.25">
      <c r="A323" s="272"/>
      <c r="B323" s="306" t="s">
        <v>598</v>
      </c>
      <c r="C323" s="416">
        <f t="shared" si="65"/>
        <v>2179.36</v>
      </c>
      <c r="D323" s="414"/>
      <c r="E323" s="414"/>
      <c r="F323" s="414">
        <v>2179.36</v>
      </c>
      <c r="G323" s="414"/>
      <c r="H323" s="414"/>
      <c r="I323" s="416">
        <f t="shared" si="64"/>
        <v>3850.61</v>
      </c>
      <c r="J323" s="414"/>
      <c r="K323" s="414"/>
      <c r="L323" s="414">
        <v>3850.61</v>
      </c>
      <c r="M323" s="423"/>
      <c r="N323" s="414"/>
      <c r="O323" s="416">
        <f t="shared" si="63"/>
        <v>2939.1</v>
      </c>
      <c r="P323" s="423"/>
      <c r="Q323" s="423"/>
      <c r="R323" s="423">
        <v>2939.1</v>
      </c>
      <c r="S323" s="423"/>
      <c r="T323" s="423"/>
    </row>
    <row r="324" spans="1:209" s="8" customFormat="1" ht="47.25" x14ac:dyDescent="0.25">
      <c r="A324" s="272"/>
      <c r="B324" s="306" t="s">
        <v>827</v>
      </c>
      <c r="C324" s="416">
        <f t="shared" si="65"/>
        <v>0</v>
      </c>
      <c r="D324" s="414"/>
      <c r="E324" s="414"/>
      <c r="F324" s="414"/>
      <c r="G324" s="414"/>
      <c r="H324" s="414"/>
      <c r="I324" s="416">
        <f t="shared" si="64"/>
        <v>3420</v>
      </c>
      <c r="J324" s="414">
        <v>3316.51665</v>
      </c>
      <c r="K324" s="414">
        <v>33.500169999999997</v>
      </c>
      <c r="L324" s="414">
        <v>69.983180000000004</v>
      </c>
      <c r="M324" s="423"/>
      <c r="N324" s="414"/>
      <c r="O324" s="416">
        <f t="shared" si="63"/>
        <v>3420</v>
      </c>
      <c r="P324" s="423">
        <v>3316.51665</v>
      </c>
      <c r="Q324" s="423">
        <v>33.500169999999997</v>
      </c>
      <c r="R324" s="423">
        <v>69.983180000000004</v>
      </c>
      <c r="S324" s="423"/>
      <c r="T324" s="423"/>
    </row>
    <row r="325" spans="1:209" s="8" customFormat="1" ht="63" x14ac:dyDescent="0.25">
      <c r="A325" s="272"/>
      <c r="B325" s="306" t="s">
        <v>599</v>
      </c>
      <c r="C325" s="416">
        <f t="shared" si="65"/>
        <v>0</v>
      </c>
      <c r="D325" s="414"/>
      <c r="E325" s="414"/>
      <c r="F325" s="414"/>
      <c r="G325" s="414"/>
      <c r="H325" s="414"/>
      <c r="I325" s="416">
        <f t="shared" si="64"/>
        <v>928.50755000000004</v>
      </c>
      <c r="J325" s="414">
        <v>828.6</v>
      </c>
      <c r="K325" s="414">
        <v>72.052170000000004</v>
      </c>
      <c r="L325" s="414">
        <v>27.85538</v>
      </c>
      <c r="M325" s="423"/>
      <c r="N325" s="414"/>
      <c r="O325" s="416">
        <f t="shared" si="63"/>
        <v>928.50755000000004</v>
      </c>
      <c r="P325" s="414">
        <v>828.6</v>
      </c>
      <c r="Q325" s="414">
        <v>72.052170000000004</v>
      </c>
      <c r="R325" s="414">
        <v>27.85538</v>
      </c>
      <c r="S325" s="423"/>
      <c r="T325" s="423"/>
    </row>
    <row r="326" spans="1:209" s="8" customFormat="1" ht="31.5" x14ac:dyDescent="0.25">
      <c r="A326" s="272"/>
      <c r="B326" s="306" t="s">
        <v>600</v>
      </c>
      <c r="C326" s="416">
        <f t="shared" si="65"/>
        <v>0</v>
      </c>
      <c r="D326" s="414"/>
      <c r="E326" s="414"/>
      <c r="F326" s="414"/>
      <c r="G326" s="414"/>
      <c r="H326" s="414"/>
      <c r="I326" s="416">
        <f t="shared" si="64"/>
        <v>512.05999999999995</v>
      </c>
      <c r="J326" s="414"/>
      <c r="K326" s="414"/>
      <c r="L326" s="414">
        <v>512.05999999999995</v>
      </c>
      <c r="M326" s="423"/>
      <c r="N326" s="414"/>
      <c r="O326" s="416">
        <f t="shared" si="63"/>
        <v>494.58303999999998</v>
      </c>
      <c r="P326" s="414"/>
      <c r="Q326" s="414"/>
      <c r="R326" s="414">
        <v>494.58303999999998</v>
      </c>
      <c r="S326" s="423"/>
      <c r="T326" s="423"/>
    </row>
    <row r="327" spans="1:209" s="8" customFormat="1" ht="31.5" x14ac:dyDescent="0.25">
      <c r="A327" s="272"/>
      <c r="B327" s="306" t="s">
        <v>826</v>
      </c>
      <c r="C327" s="416"/>
      <c r="D327" s="414"/>
      <c r="E327" s="414"/>
      <c r="F327" s="414"/>
      <c r="G327" s="414"/>
      <c r="H327" s="414"/>
      <c r="I327" s="416"/>
      <c r="J327" s="414"/>
      <c r="K327" s="414"/>
      <c r="L327" s="414">
        <v>4256.9157299999997</v>
      </c>
      <c r="M327" s="423"/>
      <c r="N327" s="414"/>
      <c r="O327" s="416">
        <f t="shared" si="63"/>
        <v>4186.3732799999998</v>
      </c>
      <c r="P327" s="423"/>
      <c r="Q327" s="423"/>
      <c r="R327" s="423">
        <v>4186.3732799999998</v>
      </c>
      <c r="S327" s="423"/>
      <c r="T327" s="423"/>
    </row>
    <row r="328" spans="1:209" s="8" customFormat="1" ht="47.25" x14ac:dyDescent="0.25">
      <c r="A328" s="272"/>
      <c r="B328" s="306" t="s">
        <v>816</v>
      </c>
      <c r="C328" s="416">
        <f t="shared" si="65"/>
        <v>1485.7</v>
      </c>
      <c r="D328" s="414"/>
      <c r="E328" s="414"/>
      <c r="F328" s="414">
        <v>1485.7</v>
      </c>
      <c r="G328" s="414"/>
      <c r="H328" s="414"/>
      <c r="I328" s="416">
        <f t="shared" si="64"/>
        <v>1739.72</v>
      </c>
      <c r="J328" s="414"/>
      <c r="K328" s="414"/>
      <c r="L328" s="414">
        <v>1739.72</v>
      </c>
      <c r="M328" s="423"/>
      <c r="N328" s="414"/>
      <c r="O328" s="416">
        <f t="shared" si="63"/>
        <v>1697.00982</v>
      </c>
      <c r="P328" s="423"/>
      <c r="Q328" s="423"/>
      <c r="R328" s="423">
        <v>1697.00982</v>
      </c>
      <c r="S328" s="423"/>
      <c r="T328" s="423"/>
    </row>
    <row r="329" spans="1:209" s="305" customFormat="1" ht="31.5" x14ac:dyDescent="0.25">
      <c r="A329" s="298"/>
      <c r="B329" s="399" t="s">
        <v>601</v>
      </c>
      <c r="C329" s="475">
        <f t="shared" si="65"/>
        <v>380</v>
      </c>
      <c r="D329" s="445">
        <f>SUM(D330:D333)</f>
        <v>0</v>
      </c>
      <c r="E329" s="445">
        <f>SUM(E330:E333)</f>
        <v>0</v>
      </c>
      <c r="F329" s="445">
        <f>SUM(F330:F333)</f>
        <v>380</v>
      </c>
      <c r="G329" s="445"/>
      <c r="H329" s="445">
        <f>SUM(H330:H333)</f>
        <v>0</v>
      </c>
      <c r="I329" s="475">
        <f t="shared" si="64"/>
        <v>12060.419999999998</v>
      </c>
      <c r="J329" s="445">
        <f>SUM(J330:J333)</f>
        <v>0</v>
      </c>
      <c r="K329" s="445">
        <f>SUM(K330:K333)</f>
        <v>0</v>
      </c>
      <c r="L329" s="445">
        <f>SUM(L330:L333)</f>
        <v>12060.419999999998</v>
      </c>
      <c r="M329" s="471"/>
      <c r="N329" s="445">
        <f>SUM(N330:N333)</f>
        <v>0</v>
      </c>
      <c r="O329" s="475">
        <f t="shared" si="63"/>
        <v>12060.419999999998</v>
      </c>
      <c r="P329" s="445">
        <f>SUM(P330:P333)</f>
        <v>0</v>
      </c>
      <c r="Q329" s="445">
        <f>SUM(Q330:Q333)</f>
        <v>0</v>
      </c>
      <c r="R329" s="445">
        <f>SUM(R330:R333)</f>
        <v>12060.419999999998</v>
      </c>
      <c r="S329" s="471"/>
      <c r="T329" s="445">
        <f>SUM(T330:T333)</f>
        <v>0</v>
      </c>
    </row>
    <row r="330" spans="1:209" s="8" customFormat="1" ht="94.5" x14ac:dyDescent="0.25">
      <c r="A330" s="272"/>
      <c r="B330" s="398" t="s">
        <v>1058</v>
      </c>
      <c r="C330" s="416">
        <f t="shared" si="65"/>
        <v>380</v>
      </c>
      <c r="D330" s="414"/>
      <c r="E330" s="414"/>
      <c r="F330" s="414">
        <v>380</v>
      </c>
      <c r="G330" s="414"/>
      <c r="H330" s="414"/>
      <c r="I330" s="416">
        <f t="shared" si="64"/>
        <v>3225.14</v>
      </c>
      <c r="J330" s="414"/>
      <c r="K330" s="414"/>
      <c r="L330" s="414">
        <v>3225.14</v>
      </c>
      <c r="M330" s="423"/>
      <c r="N330" s="414"/>
      <c r="O330" s="416">
        <f t="shared" si="63"/>
        <v>3225.14</v>
      </c>
      <c r="P330" s="423"/>
      <c r="Q330" s="423"/>
      <c r="R330" s="423">
        <v>3225.14</v>
      </c>
      <c r="S330" s="423"/>
      <c r="T330" s="423"/>
    </row>
    <row r="331" spans="1:209" s="8" customFormat="1" ht="78.75" x14ac:dyDescent="0.25">
      <c r="A331" s="272"/>
      <c r="B331" s="398" t="s">
        <v>1059</v>
      </c>
      <c r="C331" s="416">
        <f t="shared" si="65"/>
        <v>0</v>
      </c>
      <c r="D331" s="414"/>
      <c r="E331" s="414"/>
      <c r="F331" s="414"/>
      <c r="G331" s="414"/>
      <c r="H331" s="414"/>
      <c r="I331" s="416">
        <f t="shared" si="64"/>
        <v>50</v>
      </c>
      <c r="J331" s="414"/>
      <c r="K331" s="414"/>
      <c r="L331" s="414">
        <v>50</v>
      </c>
      <c r="M331" s="423"/>
      <c r="N331" s="414"/>
      <c r="O331" s="416">
        <f t="shared" si="63"/>
        <v>50</v>
      </c>
      <c r="P331" s="423"/>
      <c r="Q331" s="423"/>
      <c r="R331" s="423">
        <v>50</v>
      </c>
      <c r="S331" s="423"/>
      <c r="T331" s="423"/>
    </row>
    <row r="332" spans="1:209" s="8" customFormat="1" ht="47.25" x14ac:dyDescent="0.25">
      <c r="A332" s="272"/>
      <c r="B332" s="306" t="s">
        <v>603</v>
      </c>
      <c r="C332" s="416">
        <f t="shared" si="65"/>
        <v>0</v>
      </c>
      <c r="D332" s="414"/>
      <c r="E332" s="414"/>
      <c r="F332" s="414"/>
      <c r="G332" s="414"/>
      <c r="H332" s="414"/>
      <c r="I332" s="416">
        <f t="shared" si="64"/>
        <v>3498.5</v>
      </c>
      <c r="J332" s="414"/>
      <c r="K332" s="414"/>
      <c r="L332" s="414">
        <v>3498.5</v>
      </c>
      <c r="M332" s="423"/>
      <c r="N332" s="414"/>
      <c r="O332" s="416">
        <f t="shared" si="63"/>
        <v>3498.5</v>
      </c>
      <c r="P332" s="423"/>
      <c r="Q332" s="423"/>
      <c r="R332" s="423">
        <v>3498.5</v>
      </c>
      <c r="S332" s="423"/>
      <c r="T332" s="423"/>
    </row>
    <row r="333" spans="1:209" s="8" customFormat="1" ht="47.25" x14ac:dyDescent="0.25">
      <c r="A333" s="272"/>
      <c r="B333" s="306" t="s">
        <v>604</v>
      </c>
      <c r="C333" s="416">
        <f t="shared" si="65"/>
        <v>0</v>
      </c>
      <c r="D333" s="414"/>
      <c r="E333" s="414"/>
      <c r="F333" s="414"/>
      <c r="G333" s="414"/>
      <c r="H333" s="414"/>
      <c r="I333" s="416">
        <f>SUM(J333:N333)</f>
        <v>5286.78</v>
      </c>
      <c r="J333" s="414"/>
      <c r="K333" s="414"/>
      <c r="L333" s="414">
        <v>5286.78</v>
      </c>
      <c r="M333" s="423"/>
      <c r="N333" s="414"/>
      <c r="O333" s="416">
        <f>SUM(P333:T333)</f>
        <v>5286.78</v>
      </c>
      <c r="P333" s="423"/>
      <c r="Q333" s="423"/>
      <c r="R333" s="423">
        <v>5286.78</v>
      </c>
      <c r="S333" s="423"/>
      <c r="T333" s="423"/>
    </row>
    <row r="334" spans="1:209" s="283" customFormat="1" ht="47.25" x14ac:dyDescent="0.3">
      <c r="A334" s="551">
        <v>20</v>
      </c>
      <c r="B334" s="79" t="s">
        <v>1189</v>
      </c>
      <c r="C334" s="128">
        <f>SUM(D334:H334)</f>
        <v>63272.14</v>
      </c>
      <c r="D334" s="128">
        <f>SUM(D335+D340+D349+D358+D359+D360)</f>
        <v>5000</v>
      </c>
      <c r="E334" s="128">
        <f>SUM(E335+E340+E349+E358+E359+E360)</f>
        <v>0</v>
      </c>
      <c r="F334" s="128">
        <f>SUM(F335+F340+F349+F358+F359+F360)</f>
        <v>57042.14</v>
      </c>
      <c r="G334" s="128">
        <f>SUM(G335+G340+G349+G358+G359+G360)</f>
        <v>0</v>
      </c>
      <c r="H334" s="128">
        <f>SUM(H335+H340+H349+H358)</f>
        <v>1230</v>
      </c>
      <c r="I334" s="127">
        <f>SUM(J334:N334)</f>
        <v>69819.819589999999</v>
      </c>
      <c r="J334" s="128">
        <f>SUM(J335+J340+J349+J358+J359+J360)</f>
        <v>5441.45</v>
      </c>
      <c r="K334" s="128">
        <f>SUM(K335+K340+K349+K358+K359+K360)</f>
        <v>473.17</v>
      </c>
      <c r="L334" s="128">
        <f>SUM(L335+L340+L349+L358+L359+L360)</f>
        <v>62355.279589999998</v>
      </c>
      <c r="M334" s="128">
        <f>SUM(M335+M340+M349+M358)</f>
        <v>0</v>
      </c>
      <c r="N334" s="128">
        <f>SUM(N335+N340+N349+N358)</f>
        <v>1549.92</v>
      </c>
      <c r="O334" s="127">
        <f>SUM(P334:T334)</f>
        <v>69131.225099999996</v>
      </c>
      <c r="P334" s="128">
        <f t="shared" ref="P334:U334" si="66">SUM(P335+P340+P349+P358+P359+P360)</f>
        <v>5441.45</v>
      </c>
      <c r="Q334" s="128">
        <f t="shared" si="66"/>
        <v>473.17</v>
      </c>
      <c r="R334" s="128">
        <f t="shared" si="66"/>
        <v>61995.066599999998</v>
      </c>
      <c r="S334" s="128">
        <f t="shared" si="66"/>
        <v>0</v>
      </c>
      <c r="T334" s="128">
        <f t="shared" si="66"/>
        <v>1221.5385000000001</v>
      </c>
      <c r="U334" s="128">
        <f t="shared" si="66"/>
        <v>65724.838390000004</v>
      </c>
      <c r="V334" s="735">
        <f>O334/I334*100</f>
        <v>99.013754985269784</v>
      </c>
      <c r="W334" s="734"/>
      <c r="X334" s="739"/>
      <c r="Y334" s="736"/>
      <c r="Z334" s="736"/>
      <c r="AA334" s="734"/>
      <c r="AB334" s="734"/>
      <c r="AC334" s="734"/>
      <c r="AD334" s="734"/>
      <c r="AE334" s="734"/>
      <c r="AF334" s="734"/>
      <c r="AG334" s="734"/>
      <c r="AH334" s="734"/>
      <c r="AI334" s="734"/>
      <c r="AJ334" s="734"/>
      <c r="AK334" s="734"/>
      <c r="AL334" s="734"/>
      <c r="AM334" s="734"/>
      <c r="AN334" s="734"/>
      <c r="AO334" s="734"/>
      <c r="AP334" s="734"/>
      <c r="AQ334" s="734"/>
      <c r="AR334" s="734"/>
      <c r="AS334" s="734"/>
      <c r="AT334" s="734"/>
      <c r="AU334" s="734"/>
      <c r="AV334" s="734"/>
      <c r="AW334" s="734"/>
      <c r="AX334" s="734"/>
      <c r="AY334" s="734"/>
      <c r="AZ334" s="734"/>
      <c r="BA334" s="734"/>
      <c r="BB334" s="734"/>
      <c r="BC334" s="734"/>
      <c r="BD334" s="734"/>
      <c r="BE334" s="734"/>
      <c r="BF334" s="734"/>
      <c r="BG334" s="734"/>
      <c r="BH334" s="734"/>
      <c r="BI334" s="734"/>
      <c r="BJ334" s="734"/>
      <c r="BK334" s="734"/>
      <c r="BL334" s="734"/>
      <c r="BM334" s="734"/>
      <c r="BN334" s="734"/>
      <c r="BO334" s="734"/>
      <c r="BP334" s="734"/>
      <c r="BQ334" s="734"/>
      <c r="BR334" s="734"/>
      <c r="BS334" s="734"/>
      <c r="BT334" s="734"/>
      <c r="BU334" s="734"/>
      <c r="BV334" s="734"/>
      <c r="BW334" s="734"/>
      <c r="BX334" s="734"/>
      <c r="BY334" s="734"/>
      <c r="BZ334" s="734"/>
      <c r="CA334" s="734"/>
      <c r="CB334" s="734"/>
      <c r="CC334" s="734"/>
      <c r="CD334" s="734"/>
      <c r="CE334" s="734"/>
      <c r="CF334" s="734"/>
      <c r="CG334" s="734"/>
      <c r="CH334" s="734"/>
      <c r="CI334" s="734"/>
      <c r="CJ334" s="734"/>
      <c r="CK334" s="734"/>
      <c r="CL334" s="734"/>
      <c r="CM334" s="734"/>
      <c r="CN334" s="734"/>
      <c r="CO334" s="734"/>
      <c r="CP334" s="734"/>
      <c r="CQ334" s="734"/>
      <c r="CR334" s="734"/>
      <c r="CS334" s="734"/>
      <c r="CT334" s="734"/>
      <c r="CU334" s="734"/>
      <c r="CV334" s="734"/>
      <c r="CW334" s="734"/>
      <c r="CX334" s="734"/>
      <c r="CY334" s="734"/>
      <c r="CZ334" s="734"/>
      <c r="DA334" s="734"/>
      <c r="DB334" s="734"/>
      <c r="DC334" s="734"/>
      <c r="DD334" s="734"/>
      <c r="DE334" s="734"/>
      <c r="DF334" s="734"/>
      <c r="DG334" s="734"/>
      <c r="DH334" s="734"/>
      <c r="DI334" s="734"/>
      <c r="DJ334" s="734"/>
      <c r="DK334" s="734"/>
      <c r="DL334" s="734"/>
      <c r="DM334" s="734"/>
      <c r="DN334" s="734"/>
      <c r="DO334" s="734"/>
      <c r="DP334" s="734"/>
      <c r="DQ334" s="734"/>
      <c r="DR334" s="734"/>
      <c r="DS334" s="734"/>
      <c r="DT334" s="734"/>
      <c r="DU334" s="734"/>
      <c r="DV334" s="734"/>
      <c r="DW334" s="734"/>
      <c r="DX334" s="734"/>
      <c r="DY334" s="734"/>
      <c r="DZ334" s="734"/>
      <c r="EA334" s="734"/>
      <c r="EB334" s="734"/>
      <c r="EC334" s="734"/>
      <c r="ED334" s="734"/>
      <c r="EE334" s="734"/>
      <c r="EF334" s="734"/>
      <c r="EG334" s="734"/>
      <c r="EH334" s="734"/>
      <c r="EI334" s="734"/>
      <c r="EJ334" s="734"/>
      <c r="EK334" s="734"/>
      <c r="EL334" s="734"/>
      <c r="EM334" s="734"/>
      <c r="EN334" s="734"/>
      <c r="EO334" s="734"/>
      <c r="EP334" s="734"/>
      <c r="EQ334" s="734"/>
      <c r="ER334" s="734"/>
      <c r="ES334" s="734"/>
      <c r="ET334" s="734"/>
      <c r="EU334" s="734"/>
      <c r="EV334" s="734"/>
      <c r="EW334" s="734"/>
      <c r="EX334" s="734"/>
      <c r="EY334" s="734"/>
      <c r="EZ334" s="734"/>
      <c r="FA334" s="734"/>
      <c r="FB334" s="734"/>
      <c r="FC334" s="734"/>
      <c r="FD334" s="734"/>
      <c r="FE334" s="734"/>
      <c r="FF334" s="734"/>
      <c r="FG334" s="734"/>
      <c r="FH334" s="734"/>
      <c r="FI334" s="734"/>
      <c r="FJ334" s="734"/>
      <c r="FK334" s="734"/>
      <c r="FL334" s="734"/>
      <c r="FM334" s="734"/>
      <c r="FN334" s="734"/>
      <c r="FO334" s="734"/>
      <c r="FP334" s="734"/>
      <c r="FQ334" s="734"/>
      <c r="FR334" s="734"/>
      <c r="FS334" s="734"/>
      <c r="FT334" s="734"/>
      <c r="FU334" s="734"/>
      <c r="FV334" s="734"/>
      <c r="FW334" s="734"/>
      <c r="FX334" s="734"/>
      <c r="FY334" s="734"/>
      <c r="FZ334" s="734"/>
      <c r="GA334" s="734"/>
      <c r="GB334" s="734"/>
      <c r="GC334" s="734"/>
      <c r="GD334" s="734"/>
      <c r="GE334" s="734"/>
      <c r="GF334" s="734"/>
      <c r="GG334" s="734"/>
      <c r="GH334" s="734"/>
      <c r="GI334" s="734"/>
      <c r="GJ334" s="734"/>
      <c r="GK334" s="734"/>
      <c r="GL334" s="734"/>
      <c r="GM334" s="734"/>
      <c r="GN334" s="734"/>
      <c r="GO334" s="734"/>
      <c r="GP334" s="734"/>
      <c r="GQ334" s="734"/>
      <c r="GR334" s="734"/>
      <c r="GS334" s="734"/>
      <c r="GT334" s="734"/>
      <c r="GU334" s="734"/>
      <c r="GV334" s="734"/>
      <c r="GW334" s="734"/>
      <c r="GX334" s="734"/>
      <c r="GY334" s="734"/>
      <c r="GZ334" s="734"/>
      <c r="HA334" s="734"/>
    </row>
    <row r="335" spans="1:209" s="8" customFormat="1" x14ac:dyDescent="0.25">
      <c r="A335" s="272">
        <v>1</v>
      </c>
      <c r="B335" s="351" t="s">
        <v>456</v>
      </c>
      <c r="C335" s="477">
        <f t="shared" ref="C335:C359" si="67">SUM(D335:H335)</f>
        <v>7709.02</v>
      </c>
      <c r="D335" s="478"/>
      <c r="E335" s="478"/>
      <c r="F335" s="478">
        <f>SUM(F336+F337)</f>
        <v>7709.02</v>
      </c>
      <c r="G335" s="478"/>
      <c r="H335" s="478"/>
      <c r="I335" s="416">
        <f t="shared" ref="I335:I365" si="68">SUM(J335:N335)</f>
        <v>7225.64</v>
      </c>
      <c r="J335" s="437"/>
      <c r="K335" s="437"/>
      <c r="L335" s="478">
        <f>SUM(L336+L337)</f>
        <v>7225.64</v>
      </c>
      <c r="M335" s="437"/>
      <c r="N335" s="437"/>
      <c r="O335" s="416">
        <f>SUM(P335:T335)</f>
        <v>6905.4265999999998</v>
      </c>
      <c r="P335" s="422"/>
      <c r="Q335" s="422"/>
      <c r="R335" s="478">
        <f>SUM(R336+R337)</f>
        <v>6905.4265999999998</v>
      </c>
      <c r="S335" s="422"/>
      <c r="T335" s="422"/>
      <c r="U335" s="478">
        <f>SUM(U336+U337)</f>
        <v>5434.2300000000005</v>
      </c>
    </row>
    <row r="336" spans="1:209" s="305" customFormat="1" x14ac:dyDescent="0.25">
      <c r="A336" s="298" t="s">
        <v>717</v>
      </c>
      <c r="B336" s="357" t="s">
        <v>605</v>
      </c>
      <c r="C336" s="479">
        <f t="shared" si="67"/>
        <v>7649.02</v>
      </c>
      <c r="D336" s="471"/>
      <c r="E336" s="471"/>
      <c r="F336" s="480">
        <v>7649.02</v>
      </c>
      <c r="G336" s="471"/>
      <c r="H336" s="471"/>
      <c r="I336" s="470">
        <f t="shared" si="68"/>
        <v>7165.64</v>
      </c>
      <c r="J336" s="439"/>
      <c r="K336" s="439"/>
      <c r="L336" s="471">
        <v>7165.64</v>
      </c>
      <c r="M336" s="471"/>
      <c r="N336" s="439"/>
      <c r="O336" s="470">
        <f t="shared" ref="O336:O365" si="69">SUM(P336:T336)</f>
        <v>6845.4265999999998</v>
      </c>
      <c r="P336" s="439"/>
      <c r="Q336" s="439"/>
      <c r="R336" s="471">
        <v>6845.4265999999998</v>
      </c>
      <c r="S336" s="439"/>
      <c r="T336" s="439"/>
      <c r="U336" s="305">
        <f>L336/4*3</f>
        <v>5374.2300000000005</v>
      </c>
    </row>
    <row r="337" spans="1:21" s="305" customFormat="1" x14ac:dyDescent="0.25">
      <c r="A337" s="298" t="s">
        <v>718</v>
      </c>
      <c r="B337" s="357" t="s">
        <v>606</v>
      </c>
      <c r="C337" s="479">
        <f t="shared" si="67"/>
        <v>60</v>
      </c>
      <c r="D337" s="471"/>
      <c r="E337" s="471"/>
      <c r="F337" s="480">
        <f>SUM(F338:F339)</f>
        <v>60</v>
      </c>
      <c r="G337" s="471"/>
      <c r="H337" s="471"/>
      <c r="I337" s="470">
        <f t="shared" si="68"/>
        <v>60</v>
      </c>
      <c r="J337" s="439"/>
      <c r="K337" s="439"/>
      <c r="L337" s="481">
        <f>SUM(L338:L339)</f>
        <v>60</v>
      </c>
      <c r="M337" s="439"/>
      <c r="N337" s="439"/>
      <c r="O337" s="470">
        <f t="shared" si="69"/>
        <v>60</v>
      </c>
      <c r="P337" s="439"/>
      <c r="Q337" s="439"/>
      <c r="R337" s="481">
        <f>SUM(R338:R339)</f>
        <v>60</v>
      </c>
      <c r="S337" s="439"/>
      <c r="T337" s="439"/>
      <c r="U337" s="305">
        <f>U338</f>
        <v>60</v>
      </c>
    </row>
    <row r="338" spans="1:21" s="8" customFormat="1" ht="31.5" x14ac:dyDescent="0.25">
      <c r="A338" s="272" t="s">
        <v>719</v>
      </c>
      <c r="B338" s="359" t="s">
        <v>607</v>
      </c>
      <c r="C338" s="477">
        <f t="shared" si="67"/>
        <v>60</v>
      </c>
      <c r="D338" s="423"/>
      <c r="E338" s="423"/>
      <c r="F338" s="423">
        <v>60</v>
      </c>
      <c r="G338" s="423"/>
      <c r="H338" s="423"/>
      <c r="I338" s="416">
        <f t="shared" si="68"/>
        <v>60</v>
      </c>
      <c r="J338" s="422"/>
      <c r="K338" s="422"/>
      <c r="L338" s="422">
        <v>60</v>
      </c>
      <c r="M338" s="422"/>
      <c r="N338" s="422"/>
      <c r="O338" s="416">
        <f t="shared" si="69"/>
        <v>60</v>
      </c>
      <c r="P338" s="422"/>
      <c r="Q338" s="422"/>
      <c r="R338" s="422">
        <v>60</v>
      </c>
      <c r="S338" s="422"/>
      <c r="T338" s="422"/>
      <c r="U338" s="8">
        <v>60</v>
      </c>
    </row>
    <row r="339" spans="1:21" s="8" customFormat="1" x14ac:dyDescent="0.25">
      <c r="A339" s="272" t="s">
        <v>720</v>
      </c>
      <c r="B339" s="359" t="s">
        <v>606</v>
      </c>
      <c r="C339" s="477">
        <f t="shared" si="67"/>
        <v>0</v>
      </c>
      <c r="D339" s="423"/>
      <c r="E339" s="423"/>
      <c r="F339" s="423"/>
      <c r="G339" s="423"/>
      <c r="H339" s="423"/>
      <c r="I339" s="416">
        <f t="shared" si="68"/>
        <v>0</v>
      </c>
      <c r="J339" s="422"/>
      <c r="K339" s="422"/>
      <c r="L339" s="422"/>
      <c r="M339" s="422"/>
      <c r="N339" s="422"/>
      <c r="O339" s="416">
        <f t="shared" si="69"/>
        <v>0</v>
      </c>
      <c r="P339" s="422"/>
      <c r="Q339" s="422"/>
      <c r="R339" s="422"/>
      <c r="S339" s="422"/>
      <c r="T339" s="422"/>
    </row>
    <row r="340" spans="1:21" s="328" customFormat="1" ht="31.5" x14ac:dyDescent="0.25">
      <c r="A340" s="325">
        <v>2</v>
      </c>
      <c r="B340" s="351" t="s">
        <v>609</v>
      </c>
      <c r="C340" s="477">
        <f>SUM(C341+C345)</f>
        <v>13101.519999999999</v>
      </c>
      <c r="D340" s="478"/>
      <c r="E340" s="478"/>
      <c r="F340" s="478">
        <f>SUM(F341+F345)</f>
        <v>11881.519999999999</v>
      </c>
      <c r="G340" s="478">
        <f>SUM(G341+G345)</f>
        <v>0</v>
      </c>
      <c r="H340" s="478">
        <f>SUM(H341+H345)</f>
        <v>1220</v>
      </c>
      <c r="I340" s="416">
        <f t="shared" si="68"/>
        <v>16611.799589999999</v>
      </c>
      <c r="J340" s="478">
        <f>SUM(J341+J345+J344)</f>
        <v>1591.25</v>
      </c>
      <c r="K340" s="478">
        <f>SUM(K341+K345+K344)</f>
        <v>138.37</v>
      </c>
      <c r="L340" s="478">
        <f>SUM(L341+L345+L344)</f>
        <v>13662.17959</v>
      </c>
      <c r="M340" s="437">
        <f>SUM(M341+M345)</f>
        <v>0</v>
      </c>
      <c r="N340" s="437">
        <f>SUM(N341+N345)</f>
        <v>1220</v>
      </c>
      <c r="O340" s="416">
        <f t="shared" si="69"/>
        <v>16454.638500000001</v>
      </c>
      <c r="P340" s="478">
        <f>SUM(P341+P345+P344)</f>
        <v>1591.25</v>
      </c>
      <c r="Q340" s="478">
        <f>SUM(Q341+Q345+Q344)</f>
        <v>138.37</v>
      </c>
      <c r="R340" s="478">
        <f>SUM(R341+R345+R344)</f>
        <v>13662.18</v>
      </c>
      <c r="S340" s="437"/>
      <c r="T340" s="437">
        <f>SUM(T341+T345)</f>
        <v>1062.8385000000001</v>
      </c>
      <c r="U340" s="478">
        <f>SUM(U341+U345+U344)</f>
        <v>14808.148390000002</v>
      </c>
    </row>
    <row r="341" spans="1:21" s="305" customFormat="1" ht="47.25" x14ac:dyDescent="0.25">
      <c r="A341" s="298" t="s">
        <v>721</v>
      </c>
      <c r="B341" s="357" t="s">
        <v>610</v>
      </c>
      <c r="C341" s="482">
        <f t="shared" si="67"/>
        <v>11962.619999999999</v>
      </c>
      <c r="D341" s="471"/>
      <c r="E341" s="471"/>
      <c r="F341" s="471">
        <f>SUM(F342+F343)</f>
        <v>10742.619999999999</v>
      </c>
      <c r="G341" s="471"/>
      <c r="H341" s="471">
        <f>SUM(H342)</f>
        <v>1220</v>
      </c>
      <c r="I341" s="475">
        <f t="shared" si="68"/>
        <v>10645.49164</v>
      </c>
      <c r="J341" s="439"/>
      <c r="K341" s="439"/>
      <c r="L341" s="439">
        <f>SUM(L342+L343)</f>
        <v>9425.4916400000002</v>
      </c>
      <c r="M341" s="439">
        <f>SUM(M342)</f>
        <v>0</v>
      </c>
      <c r="N341" s="439">
        <f>SUM(N342)</f>
        <v>1220</v>
      </c>
      <c r="O341" s="475">
        <f t="shared" si="69"/>
        <v>10488.328500000001</v>
      </c>
      <c r="P341" s="439"/>
      <c r="Q341" s="439"/>
      <c r="R341" s="439">
        <f>SUM(R342+R343)</f>
        <v>9425.4900000000016</v>
      </c>
      <c r="S341" s="483"/>
      <c r="T341" s="439">
        <f>SUM(T342)</f>
        <v>1062.8385000000001</v>
      </c>
      <c r="U341" s="439">
        <f>SUM(U342+U343)</f>
        <v>8945.0400000000009</v>
      </c>
    </row>
    <row r="342" spans="1:21" s="8" customFormat="1" ht="47.25" x14ac:dyDescent="0.25">
      <c r="A342" s="272" t="s">
        <v>722</v>
      </c>
      <c r="B342" s="352" t="s">
        <v>611</v>
      </c>
      <c r="C342" s="477">
        <f t="shared" si="67"/>
        <v>9221.4</v>
      </c>
      <c r="D342" s="423"/>
      <c r="E342" s="423"/>
      <c r="F342" s="484">
        <v>8001.4</v>
      </c>
      <c r="G342" s="423"/>
      <c r="H342" s="484">
        <v>1220</v>
      </c>
      <c r="I342" s="416">
        <f t="shared" si="68"/>
        <v>10137.541639999999</v>
      </c>
      <c r="J342" s="422"/>
      <c r="K342" s="422"/>
      <c r="L342" s="485">
        <v>8917.5416399999995</v>
      </c>
      <c r="M342" s="422"/>
      <c r="N342" s="422">
        <v>1220</v>
      </c>
      <c r="O342" s="416">
        <f t="shared" si="69"/>
        <v>9980.3785000000007</v>
      </c>
      <c r="P342" s="422"/>
      <c r="Q342" s="422"/>
      <c r="R342" s="485">
        <v>8917.5400000000009</v>
      </c>
      <c r="S342" s="422"/>
      <c r="T342" s="422">
        <v>1062.8385000000001</v>
      </c>
      <c r="U342" s="465">
        <f>R342</f>
        <v>8917.5400000000009</v>
      </c>
    </row>
    <row r="343" spans="1:21" s="8" customFormat="1" ht="31.5" x14ac:dyDescent="0.25">
      <c r="A343" s="272" t="s">
        <v>723</v>
      </c>
      <c r="B343" s="352" t="s">
        <v>612</v>
      </c>
      <c r="C343" s="477">
        <f t="shared" si="67"/>
        <v>2741.22</v>
      </c>
      <c r="D343" s="423"/>
      <c r="E343" s="423"/>
      <c r="F343" s="423">
        <v>2741.22</v>
      </c>
      <c r="G343" s="423"/>
      <c r="H343" s="423"/>
      <c r="I343" s="416">
        <f t="shared" si="68"/>
        <v>507.95</v>
      </c>
      <c r="J343" s="422"/>
      <c r="K343" s="422"/>
      <c r="L343" s="422">
        <v>507.95</v>
      </c>
      <c r="M343" s="422"/>
      <c r="N343" s="422"/>
      <c r="O343" s="416">
        <f t="shared" si="69"/>
        <v>507.95</v>
      </c>
      <c r="P343" s="422"/>
      <c r="Q343" s="422"/>
      <c r="R343" s="422">
        <v>507.95</v>
      </c>
      <c r="S343" s="422"/>
      <c r="T343" s="422"/>
      <c r="U343" s="8">
        <v>27.5</v>
      </c>
    </row>
    <row r="344" spans="1:21" s="305" customFormat="1" ht="31.5" x14ac:dyDescent="0.25">
      <c r="A344" s="298" t="s">
        <v>724</v>
      </c>
      <c r="B344" s="357" t="s">
        <v>649</v>
      </c>
      <c r="C344" s="482">
        <f t="shared" si="67"/>
        <v>0</v>
      </c>
      <c r="D344" s="471"/>
      <c r="E344" s="471"/>
      <c r="F344" s="471"/>
      <c r="G344" s="471"/>
      <c r="H344" s="471"/>
      <c r="I344" s="475">
        <f t="shared" si="68"/>
        <v>1764.9183899999998</v>
      </c>
      <c r="J344" s="439">
        <v>1591.25</v>
      </c>
      <c r="K344" s="439">
        <v>138.37</v>
      </c>
      <c r="L344" s="439">
        <v>35.298389999999998</v>
      </c>
      <c r="M344" s="439"/>
      <c r="N344" s="439"/>
      <c r="O344" s="475">
        <f t="shared" si="69"/>
        <v>1764.9199999999998</v>
      </c>
      <c r="P344" s="439">
        <v>1591.25</v>
      </c>
      <c r="Q344" s="439">
        <v>138.37</v>
      </c>
      <c r="R344" s="439">
        <v>35.299999999999997</v>
      </c>
      <c r="S344" s="439"/>
      <c r="T344" s="439"/>
      <c r="U344" s="486">
        <f>I344</f>
        <v>1764.9183899999998</v>
      </c>
    </row>
    <row r="345" spans="1:21" s="305" customFormat="1" x14ac:dyDescent="0.25">
      <c r="A345" s="298" t="s">
        <v>725</v>
      </c>
      <c r="B345" s="357" t="s">
        <v>615</v>
      </c>
      <c r="C345" s="482">
        <f t="shared" si="67"/>
        <v>1138.9000000000001</v>
      </c>
      <c r="D345" s="471"/>
      <c r="E345" s="471"/>
      <c r="F345" s="471">
        <f>SUM(F346:F348)</f>
        <v>1138.9000000000001</v>
      </c>
      <c r="G345" s="471"/>
      <c r="H345" s="471"/>
      <c r="I345" s="475">
        <f t="shared" si="68"/>
        <v>4201.3895599999996</v>
      </c>
      <c r="J345" s="439"/>
      <c r="K345" s="439"/>
      <c r="L345" s="439">
        <f>SUM(L346:L348)</f>
        <v>4201.3895599999996</v>
      </c>
      <c r="M345" s="439"/>
      <c r="N345" s="439"/>
      <c r="O345" s="475">
        <f t="shared" si="69"/>
        <v>4201.3900000000003</v>
      </c>
      <c r="P345" s="439"/>
      <c r="Q345" s="439"/>
      <c r="R345" s="439">
        <v>4201.3900000000003</v>
      </c>
      <c r="S345" s="439"/>
      <c r="T345" s="439"/>
      <c r="U345" s="439">
        <f>SUM(U346:U348)</f>
        <v>4098.1900000000005</v>
      </c>
    </row>
    <row r="346" spans="1:21" s="8" customFormat="1" x14ac:dyDescent="0.25">
      <c r="A346" s="272" t="s">
        <v>745</v>
      </c>
      <c r="B346" s="359" t="s">
        <v>744</v>
      </c>
      <c r="C346" s="477">
        <f t="shared" si="67"/>
        <v>200</v>
      </c>
      <c r="D346" s="423"/>
      <c r="E346" s="423"/>
      <c r="F346" s="487">
        <v>200</v>
      </c>
      <c r="G346" s="423"/>
      <c r="H346" s="423"/>
      <c r="I346" s="416">
        <f t="shared" si="68"/>
        <v>78.199560000000005</v>
      </c>
      <c r="J346" s="422"/>
      <c r="K346" s="422"/>
      <c r="L346" s="422">
        <v>78.199560000000005</v>
      </c>
      <c r="M346" s="422"/>
      <c r="N346" s="422"/>
      <c r="O346" s="416">
        <f t="shared" si="69"/>
        <v>78.2</v>
      </c>
      <c r="P346" s="422"/>
      <c r="Q346" s="422"/>
      <c r="R346" s="422">
        <v>78.2</v>
      </c>
      <c r="S346" s="422"/>
      <c r="T346" s="422"/>
      <c r="U346" s="439"/>
    </row>
    <row r="347" spans="1:21" s="8" customFormat="1" ht="31.5" x14ac:dyDescent="0.25">
      <c r="A347" s="433" t="s">
        <v>746</v>
      </c>
      <c r="B347" s="364" t="s">
        <v>616</v>
      </c>
      <c r="C347" s="477">
        <f t="shared" si="67"/>
        <v>500</v>
      </c>
      <c r="D347" s="423"/>
      <c r="E347" s="423"/>
      <c r="F347" s="423">
        <v>500</v>
      </c>
      <c r="G347" s="423"/>
      <c r="H347" s="423"/>
      <c r="I347" s="416">
        <f t="shared" si="68"/>
        <v>100</v>
      </c>
      <c r="J347" s="422"/>
      <c r="K347" s="422"/>
      <c r="L347" s="422">
        <v>100</v>
      </c>
      <c r="M347" s="422"/>
      <c r="N347" s="422"/>
      <c r="O347" s="416">
        <f t="shared" si="69"/>
        <v>100</v>
      </c>
      <c r="P347" s="422"/>
      <c r="Q347" s="422"/>
      <c r="R347" s="422">
        <v>100</v>
      </c>
      <c r="S347" s="422"/>
      <c r="T347" s="422"/>
      <c r="U347" s="8">
        <v>100</v>
      </c>
    </row>
    <row r="348" spans="1:21" s="8" customFormat="1" x14ac:dyDescent="0.25">
      <c r="A348" s="433" t="s">
        <v>747</v>
      </c>
      <c r="B348" s="364" t="s">
        <v>748</v>
      </c>
      <c r="C348" s="477"/>
      <c r="D348" s="423"/>
      <c r="E348" s="423"/>
      <c r="F348" s="423">
        <v>438.9</v>
      </c>
      <c r="G348" s="423"/>
      <c r="H348" s="423"/>
      <c r="I348" s="416">
        <f t="shared" si="68"/>
        <v>4023.19</v>
      </c>
      <c r="J348" s="422"/>
      <c r="K348" s="422"/>
      <c r="L348" s="422">
        <v>4023.19</v>
      </c>
      <c r="M348" s="422"/>
      <c r="N348" s="422"/>
      <c r="O348" s="416">
        <f t="shared" si="69"/>
        <v>4023.19</v>
      </c>
      <c r="P348" s="422"/>
      <c r="Q348" s="422"/>
      <c r="R348" s="422">
        <v>4023.19</v>
      </c>
      <c r="S348" s="422"/>
      <c r="T348" s="422"/>
      <c r="U348" s="8">
        <v>3998.19</v>
      </c>
    </row>
    <row r="349" spans="1:21" s="328" customFormat="1" ht="31.5" x14ac:dyDescent="0.25">
      <c r="A349" s="325">
        <v>3</v>
      </c>
      <c r="B349" s="351" t="s">
        <v>617</v>
      </c>
      <c r="C349" s="477">
        <f t="shared" si="67"/>
        <v>40811.199999999997</v>
      </c>
      <c r="D349" s="478">
        <f>SUM(D350+D354)+D357+D353</f>
        <v>5000</v>
      </c>
      <c r="E349" s="478">
        <f>SUM(E350+E354)+E357+E353</f>
        <v>0</v>
      </c>
      <c r="F349" s="478">
        <f>SUM(F350+F354)+F357+F353</f>
        <v>35801.199999999997</v>
      </c>
      <c r="G349" s="478"/>
      <c r="H349" s="478">
        <f>SUM(H350+H354)+H357</f>
        <v>10</v>
      </c>
      <c r="I349" s="416">
        <f t="shared" si="68"/>
        <v>38690.07</v>
      </c>
      <c r="J349" s="437">
        <f>SUM(J350+J354)+J357</f>
        <v>0</v>
      </c>
      <c r="K349" s="437">
        <f>SUM(K350+K354)+K357</f>
        <v>0</v>
      </c>
      <c r="L349" s="437">
        <f>SUM(L350+L354)+L357</f>
        <v>38360.15</v>
      </c>
      <c r="M349" s="437">
        <f>SUM(M350+M354)+M357</f>
        <v>0</v>
      </c>
      <c r="N349" s="437">
        <f>SUM(N350+N354)+N357</f>
        <v>329.92</v>
      </c>
      <c r="O349" s="416">
        <f t="shared" si="69"/>
        <v>38518.85</v>
      </c>
      <c r="P349" s="437"/>
      <c r="Q349" s="437"/>
      <c r="R349" s="437">
        <f>SUM(R350+R354)+R357</f>
        <v>38360.15</v>
      </c>
      <c r="S349" s="437">
        <f>SUM(S350+S354)+S357</f>
        <v>0</v>
      </c>
      <c r="T349" s="437">
        <f>SUM(T350+T354)+T357</f>
        <v>158.69999999999999</v>
      </c>
      <c r="U349" s="437">
        <f>SUM(U350+U354)+U357</f>
        <v>38260.15</v>
      </c>
    </row>
    <row r="350" spans="1:21" s="305" customFormat="1" ht="31.5" x14ac:dyDescent="0.25">
      <c r="A350" s="298" t="s">
        <v>726</v>
      </c>
      <c r="B350" s="357" t="s">
        <v>618</v>
      </c>
      <c r="C350" s="482">
        <f t="shared" si="67"/>
        <v>32961.199999999997</v>
      </c>
      <c r="D350" s="471"/>
      <c r="E350" s="471"/>
      <c r="F350" s="471">
        <f>SUM(F351)</f>
        <v>32951.199999999997</v>
      </c>
      <c r="G350" s="471"/>
      <c r="H350" s="471">
        <f>SUM(H351)</f>
        <v>10</v>
      </c>
      <c r="I350" s="475">
        <f t="shared" si="68"/>
        <v>35226.269999999997</v>
      </c>
      <c r="J350" s="439"/>
      <c r="K350" s="439"/>
      <c r="L350" s="439">
        <f>SUM(L351)+L352</f>
        <v>34896.35</v>
      </c>
      <c r="M350" s="439">
        <f>SUM(M351)</f>
        <v>0</v>
      </c>
      <c r="N350" s="439">
        <f>SUM(N351)</f>
        <v>329.92</v>
      </c>
      <c r="O350" s="475">
        <f t="shared" si="69"/>
        <v>35055.049999999996</v>
      </c>
      <c r="P350" s="439"/>
      <c r="Q350" s="439"/>
      <c r="R350" s="471">
        <f>R351+R352</f>
        <v>34896.35</v>
      </c>
      <c r="S350" s="471">
        <f>S351</f>
        <v>0</v>
      </c>
      <c r="T350" s="471">
        <f>T351</f>
        <v>158.69999999999999</v>
      </c>
      <c r="U350" s="471">
        <f>U351</f>
        <v>34796.35</v>
      </c>
    </row>
    <row r="351" spans="1:21" s="8" customFormat="1" ht="31.5" x14ac:dyDescent="0.25">
      <c r="A351" s="272" t="s">
        <v>727</v>
      </c>
      <c r="B351" s="352" t="s">
        <v>618</v>
      </c>
      <c r="C351" s="477">
        <f t="shared" si="67"/>
        <v>32961.199999999997</v>
      </c>
      <c r="D351" s="423"/>
      <c r="E351" s="423"/>
      <c r="F351" s="484">
        <f>32951200/1000</f>
        <v>32951.199999999997</v>
      </c>
      <c r="G351" s="423"/>
      <c r="H351" s="484">
        <v>10</v>
      </c>
      <c r="I351" s="416">
        <f t="shared" si="68"/>
        <v>35126.269999999997</v>
      </c>
      <c r="J351" s="422"/>
      <c r="K351" s="422"/>
      <c r="L351" s="423">
        <v>34796.35</v>
      </c>
      <c r="M351" s="422"/>
      <c r="N351" s="422">
        <v>329.92</v>
      </c>
      <c r="O351" s="416">
        <f t="shared" si="69"/>
        <v>34955.049999999996</v>
      </c>
      <c r="P351" s="422"/>
      <c r="Q351" s="422"/>
      <c r="R351" s="423">
        <v>34796.35</v>
      </c>
      <c r="S351" s="422"/>
      <c r="T351" s="422">
        <v>158.69999999999999</v>
      </c>
      <c r="U351" s="465">
        <f>R351</f>
        <v>34796.35</v>
      </c>
    </row>
    <row r="352" spans="1:21" s="8" customFormat="1" ht="31.5" x14ac:dyDescent="0.25">
      <c r="A352" s="272"/>
      <c r="B352" s="352" t="s">
        <v>612</v>
      </c>
      <c r="C352" s="482">
        <f t="shared" si="67"/>
        <v>0</v>
      </c>
      <c r="D352" s="423"/>
      <c r="E352" s="423"/>
      <c r="F352" s="484"/>
      <c r="G352" s="423"/>
      <c r="H352" s="484"/>
      <c r="I352" s="475">
        <f t="shared" si="68"/>
        <v>100</v>
      </c>
      <c r="J352" s="422"/>
      <c r="K352" s="422"/>
      <c r="L352" s="423">
        <v>100</v>
      </c>
      <c r="M352" s="422"/>
      <c r="N352" s="422"/>
      <c r="O352" s="475">
        <f t="shared" si="69"/>
        <v>100</v>
      </c>
      <c r="P352" s="422"/>
      <c r="Q352" s="422"/>
      <c r="R352" s="423">
        <v>100</v>
      </c>
      <c r="S352" s="422"/>
      <c r="T352" s="422"/>
      <c r="U352" s="465"/>
    </row>
    <row r="353" spans="1:209" s="8" customFormat="1" x14ac:dyDescent="0.25">
      <c r="A353" s="272" t="s">
        <v>728</v>
      </c>
      <c r="B353" s="357" t="s">
        <v>741</v>
      </c>
      <c r="C353" s="482">
        <f t="shared" si="67"/>
        <v>5000</v>
      </c>
      <c r="D353" s="423">
        <v>5000</v>
      </c>
      <c r="E353" s="423"/>
      <c r="F353" s="484"/>
      <c r="G353" s="423"/>
      <c r="H353" s="484"/>
      <c r="I353" s="475">
        <f t="shared" si="68"/>
        <v>0</v>
      </c>
      <c r="J353" s="422"/>
      <c r="K353" s="422"/>
      <c r="L353" s="423"/>
      <c r="M353" s="422"/>
      <c r="N353" s="422"/>
      <c r="O353" s="475">
        <f t="shared" si="69"/>
        <v>0</v>
      </c>
      <c r="P353" s="422"/>
      <c r="Q353" s="422"/>
      <c r="R353" s="423"/>
      <c r="S353" s="422"/>
      <c r="T353" s="422"/>
    </row>
    <row r="354" spans="1:209" s="305" customFormat="1" ht="31.5" x14ac:dyDescent="0.25">
      <c r="A354" s="298" t="s">
        <v>729</v>
      </c>
      <c r="B354" s="365" t="s">
        <v>619</v>
      </c>
      <c r="C354" s="482">
        <f t="shared" si="67"/>
        <v>2850</v>
      </c>
      <c r="D354" s="471"/>
      <c r="E354" s="471"/>
      <c r="F354" s="471">
        <f>SUM(F355:F356)</f>
        <v>2850</v>
      </c>
      <c r="G354" s="471"/>
      <c r="H354" s="471"/>
      <c r="I354" s="475">
        <f t="shared" si="68"/>
        <v>3463.8</v>
      </c>
      <c r="J354" s="439"/>
      <c r="K354" s="439"/>
      <c r="L354" s="439">
        <f>SUM(L355:L356)</f>
        <v>3463.8</v>
      </c>
      <c r="M354" s="439"/>
      <c r="N354" s="439"/>
      <c r="O354" s="475">
        <f t="shared" si="69"/>
        <v>3463.8</v>
      </c>
      <c r="P354" s="439"/>
      <c r="Q354" s="439"/>
      <c r="R354" s="439">
        <f>SUM(R355:R356)</f>
        <v>3463.8</v>
      </c>
      <c r="S354" s="439"/>
      <c r="T354" s="439"/>
      <c r="U354" s="486">
        <f>I354</f>
        <v>3463.8</v>
      </c>
    </row>
    <row r="355" spans="1:209" s="8" customFormat="1" x14ac:dyDescent="0.25">
      <c r="A355" s="272" t="s">
        <v>730</v>
      </c>
      <c r="B355" s="367" t="s">
        <v>620</v>
      </c>
      <c r="C355" s="477">
        <f t="shared" si="67"/>
        <v>2850</v>
      </c>
      <c r="D355" s="423"/>
      <c r="E355" s="423"/>
      <c r="F355" s="487">
        <v>2850</v>
      </c>
      <c r="G355" s="423"/>
      <c r="H355" s="423"/>
      <c r="I355" s="416">
        <f t="shared" si="68"/>
        <v>3463.8</v>
      </c>
      <c r="J355" s="422"/>
      <c r="K355" s="422"/>
      <c r="L355" s="422">
        <v>3463.8</v>
      </c>
      <c r="M355" s="422"/>
      <c r="N355" s="422"/>
      <c r="O355" s="416">
        <f t="shared" si="69"/>
        <v>3463.8</v>
      </c>
      <c r="P355" s="422"/>
      <c r="Q355" s="422"/>
      <c r="R355" s="422">
        <v>3463.8</v>
      </c>
      <c r="S355" s="422"/>
      <c r="T355" s="422"/>
    </row>
    <row r="356" spans="1:209" s="8" customFormat="1" x14ac:dyDescent="0.25">
      <c r="A356" s="433" t="s">
        <v>731</v>
      </c>
      <c r="B356" s="17" t="s">
        <v>732</v>
      </c>
      <c r="C356" s="477">
        <f t="shared" si="67"/>
        <v>0</v>
      </c>
      <c r="D356" s="423"/>
      <c r="E356" s="423"/>
      <c r="F356" s="484"/>
      <c r="G356" s="423"/>
      <c r="H356" s="423"/>
      <c r="I356" s="416">
        <f t="shared" si="68"/>
        <v>0</v>
      </c>
      <c r="J356" s="422"/>
      <c r="K356" s="422"/>
      <c r="L356" s="422"/>
      <c r="M356" s="422"/>
      <c r="N356" s="422"/>
      <c r="O356" s="416">
        <f t="shared" si="69"/>
        <v>0</v>
      </c>
      <c r="P356" s="422"/>
      <c r="Q356" s="422"/>
      <c r="R356" s="422"/>
      <c r="S356" s="422"/>
      <c r="T356" s="422"/>
    </row>
    <row r="357" spans="1:209" s="8" customFormat="1" x14ac:dyDescent="0.25">
      <c r="A357" s="272" t="s">
        <v>733</v>
      </c>
      <c r="B357" s="365" t="s">
        <v>621</v>
      </c>
      <c r="C357" s="477">
        <f t="shared" si="67"/>
        <v>0</v>
      </c>
      <c r="D357" s="423"/>
      <c r="E357" s="423"/>
      <c r="F357" s="484"/>
      <c r="G357" s="423"/>
      <c r="H357" s="423"/>
      <c r="I357" s="416">
        <f t="shared" si="68"/>
        <v>0</v>
      </c>
      <c r="J357" s="422"/>
      <c r="K357" s="422"/>
      <c r="L357" s="422"/>
      <c r="M357" s="422"/>
      <c r="N357" s="422"/>
      <c r="O357" s="416">
        <f t="shared" si="69"/>
        <v>0</v>
      </c>
      <c r="P357" s="422"/>
      <c r="Q357" s="422"/>
      <c r="R357" s="422"/>
      <c r="S357" s="422"/>
      <c r="T357" s="422"/>
    </row>
    <row r="358" spans="1:209" s="8" customFormat="1" x14ac:dyDescent="0.25">
      <c r="A358" s="272">
        <v>4</v>
      </c>
      <c r="B358" s="351" t="s">
        <v>317</v>
      </c>
      <c r="C358" s="477">
        <f t="shared" si="67"/>
        <v>0</v>
      </c>
      <c r="D358" s="478"/>
      <c r="E358" s="478"/>
      <c r="F358" s="478"/>
      <c r="G358" s="478"/>
      <c r="H358" s="478"/>
      <c r="I358" s="416">
        <f t="shared" si="68"/>
        <v>0</v>
      </c>
      <c r="J358" s="422"/>
      <c r="K358" s="422"/>
      <c r="L358" s="422"/>
      <c r="M358" s="422"/>
      <c r="N358" s="422"/>
      <c r="O358" s="416">
        <f t="shared" si="69"/>
        <v>0</v>
      </c>
      <c r="P358" s="422"/>
      <c r="Q358" s="422"/>
      <c r="R358" s="422"/>
      <c r="S358" s="422"/>
      <c r="T358" s="422"/>
    </row>
    <row r="359" spans="1:209" s="8" customFormat="1" ht="31.5" x14ac:dyDescent="0.25">
      <c r="A359" s="272">
        <v>5</v>
      </c>
      <c r="B359" s="351" t="s">
        <v>734</v>
      </c>
      <c r="C359" s="477">
        <f t="shared" si="67"/>
        <v>0</v>
      </c>
      <c r="D359" s="478"/>
      <c r="E359" s="478"/>
      <c r="F359" s="478"/>
      <c r="G359" s="478"/>
      <c r="H359" s="478"/>
      <c r="I359" s="416">
        <f t="shared" si="68"/>
        <v>0</v>
      </c>
      <c r="J359" s="422"/>
      <c r="K359" s="422"/>
      <c r="L359" s="422"/>
      <c r="M359" s="422"/>
      <c r="N359" s="422"/>
      <c r="O359" s="416">
        <f t="shared" si="69"/>
        <v>0</v>
      </c>
      <c r="P359" s="422"/>
      <c r="Q359" s="422"/>
      <c r="R359" s="422"/>
      <c r="S359" s="422"/>
      <c r="T359" s="422"/>
    </row>
    <row r="360" spans="1:209" s="328" customFormat="1" ht="31.5" x14ac:dyDescent="0.25">
      <c r="A360" s="325">
        <v>6</v>
      </c>
      <c r="B360" s="351" t="s">
        <v>735</v>
      </c>
      <c r="C360" s="477">
        <f>C361+C362+C365</f>
        <v>1650.4</v>
      </c>
      <c r="D360" s="478"/>
      <c r="E360" s="478"/>
      <c r="F360" s="478">
        <f>F361+F362+F365</f>
        <v>1650.4</v>
      </c>
      <c r="G360" s="478"/>
      <c r="H360" s="478"/>
      <c r="I360" s="416">
        <f t="shared" si="68"/>
        <v>7292.3099999999995</v>
      </c>
      <c r="J360" s="437">
        <f>J361+J362+J365</f>
        <v>3850.2</v>
      </c>
      <c r="K360" s="437">
        <f>K361+K362+K365</f>
        <v>334.8</v>
      </c>
      <c r="L360" s="437">
        <f>L361+L362+L365</f>
        <v>3107.3099999999995</v>
      </c>
      <c r="M360" s="437"/>
      <c r="N360" s="437"/>
      <c r="O360" s="416">
        <f t="shared" si="69"/>
        <v>7252.3099999999995</v>
      </c>
      <c r="P360" s="437">
        <f>P361+P362+P365</f>
        <v>3850.2</v>
      </c>
      <c r="Q360" s="437">
        <f>Q361+Q362+Q365</f>
        <v>334.8</v>
      </c>
      <c r="R360" s="437">
        <f>R361+R362+R365</f>
        <v>3067.31</v>
      </c>
      <c r="S360" s="437"/>
      <c r="T360" s="437"/>
      <c r="U360" s="437">
        <f>U361+U362+U365</f>
        <v>7222.3099999999995</v>
      </c>
    </row>
    <row r="361" spans="1:209" s="305" customFormat="1" x14ac:dyDescent="0.25">
      <c r="A361" s="298" t="s">
        <v>736</v>
      </c>
      <c r="B361" s="371" t="s">
        <v>608</v>
      </c>
      <c r="C361" s="482">
        <f>SUM(D361:H361)</f>
        <v>670</v>
      </c>
      <c r="D361" s="439"/>
      <c r="E361" s="439"/>
      <c r="F361" s="488">
        <v>670</v>
      </c>
      <c r="G361" s="439"/>
      <c r="H361" s="439"/>
      <c r="I361" s="475">
        <f t="shared" si="68"/>
        <v>70</v>
      </c>
      <c r="J361" s="439"/>
      <c r="K361" s="439"/>
      <c r="L361" s="439">
        <v>70</v>
      </c>
      <c r="M361" s="439"/>
      <c r="N361" s="439"/>
      <c r="O361" s="475">
        <f t="shared" si="69"/>
        <v>70</v>
      </c>
      <c r="P361" s="439"/>
      <c r="Q361" s="439"/>
      <c r="R361" s="439">
        <v>70</v>
      </c>
      <c r="S361" s="439"/>
      <c r="T361" s="439"/>
    </row>
    <row r="362" spans="1:209" s="305" customFormat="1" ht="31.5" x14ac:dyDescent="0.25">
      <c r="A362" s="298" t="s">
        <v>737</v>
      </c>
      <c r="B362" s="371" t="s">
        <v>738</v>
      </c>
      <c r="C362" s="482">
        <f>SUM(D362:H362)</f>
        <v>895</v>
      </c>
      <c r="D362" s="439"/>
      <c r="E362" s="439"/>
      <c r="F362" s="488">
        <f>SUM(F363:F364)</f>
        <v>895</v>
      </c>
      <c r="G362" s="439"/>
      <c r="H362" s="439"/>
      <c r="I362" s="475">
        <f t="shared" si="68"/>
        <v>2951.8999999999996</v>
      </c>
      <c r="J362" s="439"/>
      <c r="K362" s="439"/>
      <c r="L362" s="439">
        <f>SUM(L363:L364)</f>
        <v>2951.8999999999996</v>
      </c>
      <c r="M362" s="439"/>
      <c r="N362" s="439"/>
      <c r="O362" s="475">
        <f t="shared" si="69"/>
        <v>2911.9</v>
      </c>
      <c r="P362" s="439">
        <f>SUM(P363:P364)</f>
        <v>0</v>
      </c>
      <c r="Q362" s="439">
        <f>SUM(Q363:Q364)</f>
        <v>0</v>
      </c>
      <c r="R362" s="439">
        <f>SUM(R363:R364)</f>
        <v>2911.9</v>
      </c>
      <c r="S362" s="439"/>
      <c r="T362" s="439"/>
      <c r="U362" s="439">
        <f>SUM(U363:U364)</f>
        <v>2951.8999999999996</v>
      </c>
    </row>
    <row r="363" spans="1:209" s="8" customFormat="1" x14ac:dyDescent="0.25">
      <c r="A363" s="272" t="s">
        <v>742</v>
      </c>
      <c r="B363" s="352" t="s">
        <v>613</v>
      </c>
      <c r="C363" s="477">
        <f>SUM(D363:H363)</f>
        <v>855</v>
      </c>
      <c r="D363" s="422"/>
      <c r="E363" s="422"/>
      <c r="F363" s="487">
        <v>855</v>
      </c>
      <c r="G363" s="422"/>
      <c r="H363" s="422"/>
      <c r="I363" s="416">
        <f t="shared" si="68"/>
        <v>2911.8999999999996</v>
      </c>
      <c r="J363" s="422"/>
      <c r="K363" s="422"/>
      <c r="L363" s="422">
        <f>421.72+2490.18</f>
        <v>2911.8999999999996</v>
      </c>
      <c r="M363" s="422"/>
      <c r="N363" s="422"/>
      <c r="O363" s="416">
        <f t="shared" si="69"/>
        <v>2911.9</v>
      </c>
      <c r="P363" s="422"/>
      <c r="Q363" s="422"/>
      <c r="R363" s="422">
        <v>2911.9</v>
      </c>
      <c r="S363" s="422"/>
      <c r="T363" s="422"/>
      <c r="U363" s="465">
        <f>I363</f>
        <v>2911.8999999999996</v>
      </c>
    </row>
    <row r="364" spans="1:209" s="8" customFormat="1" x14ac:dyDescent="0.25">
      <c r="A364" s="272" t="s">
        <v>743</v>
      </c>
      <c r="B364" s="352" t="s">
        <v>614</v>
      </c>
      <c r="C364" s="477">
        <f>SUM(D364:H364)</f>
        <v>40</v>
      </c>
      <c r="D364" s="422"/>
      <c r="E364" s="422"/>
      <c r="F364" s="487">
        <v>40</v>
      </c>
      <c r="G364" s="422"/>
      <c r="H364" s="422"/>
      <c r="I364" s="416">
        <f t="shared" si="68"/>
        <v>40</v>
      </c>
      <c r="J364" s="422"/>
      <c r="K364" s="422"/>
      <c r="L364" s="422">
        <v>40</v>
      </c>
      <c r="M364" s="422"/>
      <c r="N364" s="422"/>
      <c r="O364" s="416">
        <f t="shared" si="69"/>
        <v>0</v>
      </c>
      <c r="P364" s="422"/>
      <c r="Q364" s="422"/>
      <c r="R364" s="422"/>
      <c r="S364" s="422"/>
      <c r="T364" s="422"/>
      <c r="U364" s="8">
        <v>40</v>
      </c>
    </row>
    <row r="365" spans="1:209" s="305" customFormat="1" ht="31.5" x14ac:dyDescent="0.25">
      <c r="A365" s="298" t="s">
        <v>739</v>
      </c>
      <c r="B365" s="371" t="s">
        <v>740</v>
      </c>
      <c r="C365" s="482">
        <f>SUM(D365:H365)</f>
        <v>85.4</v>
      </c>
      <c r="D365" s="439"/>
      <c r="E365" s="439"/>
      <c r="F365" s="488">
        <v>85.4</v>
      </c>
      <c r="G365" s="439"/>
      <c r="H365" s="439"/>
      <c r="I365" s="475">
        <f t="shared" si="68"/>
        <v>4270.41</v>
      </c>
      <c r="J365" s="439">
        <v>3850.2</v>
      </c>
      <c r="K365" s="439">
        <v>334.8</v>
      </c>
      <c r="L365" s="439">
        <v>85.41</v>
      </c>
      <c r="M365" s="439"/>
      <c r="N365" s="439"/>
      <c r="O365" s="475">
        <f t="shared" si="69"/>
        <v>4270.41</v>
      </c>
      <c r="P365" s="439">
        <v>3850.2</v>
      </c>
      <c r="Q365" s="439">
        <v>334.8</v>
      </c>
      <c r="R365" s="439">
        <v>85.41</v>
      </c>
      <c r="S365" s="439"/>
      <c r="T365" s="439"/>
      <c r="U365" s="486">
        <f>I365</f>
        <v>4270.41</v>
      </c>
    </row>
    <row r="366" spans="1:209" s="283" customFormat="1" ht="53.25" customHeight="1" x14ac:dyDescent="0.3">
      <c r="A366" s="551">
        <v>21</v>
      </c>
      <c r="B366" s="489" t="s">
        <v>1188</v>
      </c>
      <c r="C366" s="128">
        <f>SUM(C367)</f>
        <v>52503.732999999993</v>
      </c>
      <c r="D366" s="128">
        <f t="shared" ref="D366:T366" si="70">SUM(D367)</f>
        <v>48303.434999999998</v>
      </c>
      <c r="E366" s="128">
        <f t="shared" si="70"/>
        <v>3675.261</v>
      </c>
      <c r="F366" s="128">
        <f t="shared" si="70"/>
        <v>525.03700000000003</v>
      </c>
      <c r="G366" s="128">
        <f t="shared" si="70"/>
        <v>0</v>
      </c>
      <c r="H366" s="128">
        <f t="shared" si="70"/>
        <v>0</v>
      </c>
      <c r="I366" s="128">
        <f t="shared" si="70"/>
        <v>52503.732999999993</v>
      </c>
      <c r="J366" s="128">
        <f t="shared" si="70"/>
        <v>48303.434999999998</v>
      </c>
      <c r="K366" s="128">
        <f t="shared" si="70"/>
        <v>3675.261</v>
      </c>
      <c r="L366" s="128">
        <f t="shared" si="70"/>
        <v>525.03700000000003</v>
      </c>
      <c r="M366" s="128">
        <f t="shared" si="70"/>
        <v>0</v>
      </c>
      <c r="N366" s="128">
        <f t="shared" si="70"/>
        <v>0</v>
      </c>
      <c r="O366" s="128">
        <f t="shared" si="70"/>
        <v>39032.501599999996</v>
      </c>
      <c r="P366" s="128">
        <f t="shared" si="70"/>
        <v>35909.901469999997</v>
      </c>
      <c r="Q366" s="128">
        <f t="shared" si="70"/>
        <v>2732.27511</v>
      </c>
      <c r="R366" s="128">
        <f t="shared" si="70"/>
        <v>390.32501999999999</v>
      </c>
      <c r="S366" s="128">
        <f t="shared" si="70"/>
        <v>0</v>
      </c>
      <c r="T366" s="128">
        <f t="shared" si="70"/>
        <v>0</v>
      </c>
      <c r="U366" s="413">
        <f>I366/4*3</f>
        <v>39377.799749999991</v>
      </c>
      <c r="V366" s="735">
        <f>O366/I366*100</f>
        <v>74.342336001137284</v>
      </c>
      <c r="W366" s="734"/>
      <c r="X366" s="739"/>
      <c r="Y366" s="736"/>
      <c r="Z366" s="736"/>
      <c r="AA366" s="736"/>
      <c r="AB366" s="734"/>
      <c r="AC366" s="734"/>
      <c r="AD366" s="734"/>
      <c r="AE366" s="734"/>
      <c r="AF366" s="734"/>
      <c r="AG366" s="734"/>
      <c r="AH366" s="734"/>
      <c r="AI366" s="734"/>
      <c r="AJ366" s="734"/>
      <c r="AK366" s="734"/>
      <c r="AL366" s="734"/>
      <c r="AM366" s="734"/>
      <c r="AN366" s="734"/>
      <c r="AO366" s="734"/>
      <c r="AP366" s="734"/>
      <c r="AQ366" s="734"/>
      <c r="AR366" s="734"/>
      <c r="AS366" s="734"/>
      <c r="AT366" s="734"/>
      <c r="AU366" s="734"/>
      <c r="AV366" s="734"/>
      <c r="AW366" s="734"/>
      <c r="AX366" s="734"/>
      <c r="AY366" s="734"/>
      <c r="AZ366" s="734"/>
      <c r="BA366" s="734"/>
      <c r="BB366" s="734"/>
      <c r="BC366" s="734"/>
      <c r="BD366" s="734"/>
      <c r="BE366" s="734"/>
      <c r="BF366" s="734"/>
      <c r="BG366" s="734"/>
      <c r="BH366" s="734"/>
      <c r="BI366" s="734"/>
      <c r="BJ366" s="734"/>
      <c r="BK366" s="734"/>
      <c r="BL366" s="734"/>
      <c r="BM366" s="734"/>
      <c r="BN366" s="734"/>
      <c r="BO366" s="734"/>
      <c r="BP366" s="734"/>
      <c r="BQ366" s="734"/>
      <c r="BR366" s="734"/>
      <c r="BS366" s="734"/>
      <c r="BT366" s="734"/>
      <c r="BU366" s="734"/>
      <c r="BV366" s="734"/>
      <c r="BW366" s="734"/>
      <c r="BX366" s="734"/>
      <c r="BY366" s="734"/>
      <c r="BZ366" s="734"/>
      <c r="CA366" s="734"/>
      <c r="CB366" s="734"/>
      <c r="CC366" s="734"/>
      <c r="CD366" s="734"/>
      <c r="CE366" s="734"/>
      <c r="CF366" s="734"/>
      <c r="CG366" s="734"/>
      <c r="CH366" s="734"/>
      <c r="CI366" s="734"/>
      <c r="CJ366" s="734"/>
      <c r="CK366" s="734"/>
      <c r="CL366" s="734"/>
      <c r="CM366" s="734"/>
      <c r="CN366" s="734"/>
      <c r="CO366" s="734"/>
      <c r="CP366" s="734"/>
      <c r="CQ366" s="734"/>
      <c r="CR366" s="734"/>
      <c r="CS366" s="734"/>
      <c r="CT366" s="734"/>
      <c r="CU366" s="734"/>
      <c r="CV366" s="734"/>
      <c r="CW366" s="734"/>
      <c r="CX366" s="734"/>
      <c r="CY366" s="734"/>
      <c r="CZ366" s="734"/>
      <c r="DA366" s="734"/>
      <c r="DB366" s="734"/>
      <c r="DC366" s="734"/>
      <c r="DD366" s="734"/>
      <c r="DE366" s="734"/>
      <c r="DF366" s="734"/>
      <c r="DG366" s="734"/>
      <c r="DH366" s="734"/>
      <c r="DI366" s="734"/>
      <c r="DJ366" s="734"/>
      <c r="DK366" s="734"/>
      <c r="DL366" s="734"/>
      <c r="DM366" s="734"/>
      <c r="DN366" s="734"/>
      <c r="DO366" s="734"/>
      <c r="DP366" s="734"/>
      <c r="DQ366" s="734"/>
      <c r="DR366" s="734"/>
      <c r="DS366" s="734"/>
      <c r="DT366" s="734"/>
      <c r="DU366" s="734"/>
      <c r="DV366" s="734"/>
      <c r="DW366" s="734"/>
      <c r="DX366" s="734"/>
      <c r="DY366" s="734"/>
      <c r="DZ366" s="734"/>
      <c r="EA366" s="734"/>
      <c r="EB366" s="734"/>
      <c r="EC366" s="734"/>
      <c r="ED366" s="734"/>
      <c r="EE366" s="734"/>
      <c r="EF366" s="734"/>
      <c r="EG366" s="734"/>
      <c r="EH366" s="734"/>
      <c r="EI366" s="734"/>
      <c r="EJ366" s="734"/>
      <c r="EK366" s="734"/>
      <c r="EL366" s="734"/>
      <c r="EM366" s="734"/>
      <c r="EN366" s="734"/>
      <c r="EO366" s="734"/>
      <c r="EP366" s="734"/>
      <c r="EQ366" s="734"/>
      <c r="ER366" s="734"/>
      <c r="ES366" s="734"/>
      <c r="ET366" s="734"/>
      <c r="EU366" s="734"/>
      <c r="EV366" s="734"/>
      <c r="EW366" s="734"/>
      <c r="EX366" s="734"/>
      <c r="EY366" s="734"/>
      <c r="EZ366" s="734"/>
      <c r="FA366" s="734"/>
      <c r="FB366" s="734"/>
      <c r="FC366" s="734"/>
      <c r="FD366" s="734"/>
      <c r="FE366" s="734"/>
      <c r="FF366" s="734"/>
      <c r="FG366" s="734"/>
      <c r="FH366" s="734"/>
      <c r="FI366" s="734"/>
      <c r="FJ366" s="734"/>
      <c r="FK366" s="734"/>
      <c r="FL366" s="734"/>
      <c r="FM366" s="734"/>
      <c r="FN366" s="734"/>
      <c r="FO366" s="734"/>
      <c r="FP366" s="734"/>
      <c r="FQ366" s="734"/>
      <c r="FR366" s="734"/>
      <c r="FS366" s="734"/>
      <c r="FT366" s="734"/>
      <c r="FU366" s="734"/>
      <c r="FV366" s="734"/>
      <c r="FW366" s="734"/>
      <c r="FX366" s="734"/>
      <c r="FY366" s="734"/>
      <c r="FZ366" s="734"/>
      <c r="GA366" s="734"/>
      <c r="GB366" s="734"/>
      <c r="GC366" s="734"/>
      <c r="GD366" s="734"/>
      <c r="GE366" s="734"/>
      <c r="GF366" s="734"/>
      <c r="GG366" s="734"/>
      <c r="GH366" s="734"/>
      <c r="GI366" s="734"/>
      <c r="GJ366" s="734"/>
      <c r="GK366" s="734"/>
      <c r="GL366" s="734"/>
      <c r="GM366" s="734"/>
      <c r="GN366" s="734"/>
      <c r="GO366" s="734"/>
      <c r="GP366" s="734"/>
      <c r="GQ366" s="734"/>
      <c r="GR366" s="734"/>
      <c r="GS366" s="734"/>
      <c r="GT366" s="734"/>
      <c r="GU366" s="734"/>
      <c r="GV366" s="734"/>
      <c r="GW366" s="734"/>
      <c r="GX366" s="734"/>
      <c r="GY366" s="734"/>
      <c r="GZ366" s="734"/>
      <c r="HA366" s="734"/>
    </row>
    <row r="367" spans="1:209" s="8" customFormat="1" ht="31.5" x14ac:dyDescent="0.25">
      <c r="A367" s="289"/>
      <c r="B367" s="313" t="s">
        <v>622</v>
      </c>
      <c r="C367" s="477">
        <f>SUM(C368)</f>
        <v>52503.732999999993</v>
      </c>
      <c r="D367" s="437">
        <f t="shared" ref="D367:F368" si="71">SUM(D368)</f>
        <v>48303.434999999998</v>
      </c>
      <c r="E367" s="437">
        <f t="shared" si="71"/>
        <v>3675.261</v>
      </c>
      <c r="F367" s="437">
        <f t="shared" si="71"/>
        <v>525.03700000000003</v>
      </c>
      <c r="G367" s="437"/>
      <c r="H367" s="437"/>
      <c r="I367" s="416">
        <f>SUM(J367:N367)</f>
        <v>52503.732999999993</v>
      </c>
      <c r="J367" s="437">
        <f t="shared" ref="J367:L368" si="72">SUM(J368)</f>
        <v>48303.434999999998</v>
      </c>
      <c r="K367" s="437">
        <f t="shared" si="72"/>
        <v>3675.261</v>
      </c>
      <c r="L367" s="437">
        <f t="shared" si="72"/>
        <v>525.03700000000003</v>
      </c>
      <c r="M367" s="437"/>
      <c r="N367" s="437"/>
      <c r="O367" s="416">
        <f>SUM(P367:T367)</f>
        <v>39032.501599999996</v>
      </c>
      <c r="P367" s="437">
        <f t="shared" ref="P367:R368" si="73">SUM(P368)</f>
        <v>35909.901469999997</v>
      </c>
      <c r="Q367" s="437">
        <f t="shared" si="73"/>
        <v>2732.27511</v>
      </c>
      <c r="R367" s="422">
        <f t="shared" si="73"/>
        <v>390.32501999999999</v>
      </c>
      <c r="S367" s="422"/>
      <c r="T367" s="437"/>
    </row>
    <row r="368" spans="1:209" s="8" customFormat="1" ht="35.25" customHeight="1" x14ac:dyDescent="0.25">
      <c r="A368" s="289"/>
      <c r="B368" s="339" t="s">
        <v>623</v>
      </c>
      <c r="C368" s="477">
        <f>SUM(C369)</f>
        <v>52503.732999999993</v>
      </c>
      <c r="D368" s="422">
        <f t="shared" si="71"/>
        <v>48303.434999999998</v>
      </c>
      <c r="E368" s="422">
        <f t="shared" si="71"/>
        <v>3675.261</v>
      </c>
      <c r="F368" s="422">
        <f t="shared" si="71"/>
        <v>525.03700000000003</v>
      </c>
      <c r="G368" s="422"/>
      <c r="H368" s="422"/>
      <c r="I368" s="416">
        <f>SUM(J368:N368)</f>
        <v>52503.732999999993</v>
      </c>
      <c r="J368" s="422">
        <f t="shared" si="72"/>
        <v>48303.434999999998</v>
      </c>
      <c r="K368" s="422">
        <f t="shared" si="72"/>
        <v>3675.261</v>
      </c>
      <c r="L368" s="422">
        <f t="shared" si="72"/>
        <v>525.03700000000003</v>
      </c>
      <c r="M368" s="422"/>
      <c r="N368" s="422"/>
      <c r="O368" s="416">
        <f>SUM(P368:T368)</f>
        <v>39032.501599999996</v>
      </c>
      <c r="P368" s="422">
        <f t="shared" si="73"/>
        <v>35909.901469999997</v>
      </c>
      <c r="Q368" s="422">
        <f t="shared" si="73"/>
        <v>2732.27511</v>
      </c>
      <c r="R368" s="422">
        <f t="shared" si="73"/>
        <v>390.32501999999999</v>
      </c>
      <c r="S368" s="422"/>
      <c r="T368" s="422"/>
    </row>
    <row r="369" spans="1:209" s="8" customFormat="1" ht="66" customHeight="1" x14ac:dyDescent="0.25">
      <c r="A369" s="289"/>
      <c r="B369" s="490" t="s">
        <v>624</v>
      </c>
      <c r="C369" s="477">
        <f>SUM(D369:H369)</f>
        <v>52503.732999999993</v>
      </c>
      <c r="D369" s="414">
        <f>SUM(D370:D370)</f>
        <v>48303.434999999998</v>
      </c>
      <c r="E369" s="422">
        <f>SUM(E370:E370)</f>
        <v>3675.261</v>
      </c>
      <c r="F369" s="422">
        <f>SUM(F370:F370)</f>
        <v>525.03700000000003</v>
      </c>
      <c r="G369" s="422"/>
      <c r="H369" s="422"/>
      <c r="I369" s="416">
        <f>SUM(J369:N369)</f>
        <v>52503.732999999993</v>
      </c>
      <c r="J369" s="414">
        <f>SUM(J370:J370)</f>
        <v>48303.434999999998</v>
      </c>
      <c r="K369" s="422">
        <f>SUM(K370:K370)</f>
        <v>3675.261</v>
      </c>
      <c r="L369" s="422">
        <f>SUM(L370:L370)</f>
        <v>525.03700000000003</v>
      </c>
      <c r="M369" s="422"/>
      <c r="N369" s="422"/>
      <c r="O369" s="416">
        <f>SUM(P369:T369)</f>
        <v>39032.501599999996</v>
      </c>
      <c r="P369" s="422">
        <f>SUM(P370:P370)</f>
        <v>35909.901469999997</v>
      </c>
      <c r="Q369" s="422">
        <f>SUM(Q370:Q370)</f>
        <v>2732.27511</v>
      </c>
      <c r="R369" s="422">
        <f>SUM(R370:R370)</f>
        <v>390.32501999999999</v>
      </c>
      <c r="S369" s="422"/>
      <c r="T369" s="422"/>
    </row>
    <row r="370" spans="1:209" s="8" customFormat="1" ht="47.25" x14ac:dyDescent="0.25">
      <c r="A370" s="289"/>
      <c r="B370" s="277" t="s">
        <v>625</v>
      </c>
      <c r="C370" s="477">
        <f>SUM(D370:H370)</f>
        <v>52503.732999999993</v>
      </c>
      <c r="D370" s="422">
        <v>48303.434999999998</v>
      </c>
      <c r="E370" s="422">
        <v>3675.261</v>
      </c>
      <c r="F370" s="414">
        <v>525.03700000000003</v>
      </c>
      <c r="G370" s="422"/>
      <c r="H370" s="422"/>
      <c r="I370" s="416">
        <f>SUM(J370:N370)</f>
        <v>52503.732999999993</v>
      </c>
      <c r="J370" s="422">
        <v>48303.434999999998</v>
      </c>
      <c r="K370" s="422">
        <v>3675.261</v>
      </c>
      <c r="L370" s="414">
        <v>525.03700000000003</v>
      </c>
      <c r="M370" s="422"/>
      <c r="N370" s="422"/>
      <c r="O370" s="416">
        <f>SUM(P370:T370)</f>
        <v>39032.501599999996</v>
      </c>
      <c r="P370" s="422">
        <v>35909.901469999997</v>
      </c>
      <c r="Q370" s="422">
        <v>2732.27511</v>
      </c>
      <c r="R370" s="410">
        <v>390.32501999999999</v>
      </c>
      <c r="S370" s="422"/>
      <c r="T370" s="422"/>
    </row>
    <row r="371" spans="1:209" s="283" customFormat="1" ht="47.25" x14ac:dyDescent="0.3">
      <c r="A371" s="551">
        <v>22</v>
      </c>
      <c r="B371" s="390" t="s">
        <v>1187</v>
      </c>
      <c r="C371" s="128">
        <v>0</v>
      </c>
      <c r="D371" s="491"/>
      <c r="E371" s="491"/>
      <c r="F371" s="491"/>
      <c r="G371" s="491"/>
      <c r="H371" s="491"/>
      <c r="I371" s="491">
        <v>0</v>
      </c>
      <c r="J371" s="491"/>
      <c r="K371" s="491"/>
      <c r="L371" s="491"/>
      <c r="M371" s="491"/>
      <c r="N371" s="491"/>
      <c r="O371" s="491">
        <v>0</v>
      </c>
      <c r="P371" s="491"/>
      <c r="Q371" s="491"/>
      <c r="R371" s="491"/>
      <c r="S371" s="491"/>
      <c r="T371" s="491"/>
      <c r="U371" s="413">
        <f>I371/4*3</f>
        <v>0</v>
      </c>
      <c r="V371" s="735"/>
      <c r="W371" s="734"/>
      <c r="X371" s="739"/>
      <c r="Y371" s="736"/>
      <c r="Z371" s="736"/>
      <c r="AA371" s="734"/>
      <c r="AB371" s="734"/>
      <c r="AC371" s="734"/>
      <c r="AD371" s="734"/>
      <c r="AE371" s="734"/>
      <c r="AF371" s="734"/>
      <c r="AG371" s="734"/>
      <c r="AH371" s="734"/>
      <c r="AI371" s="734"/>
      <c r="AJ371" s="734"/>
      <c r="AK371" s="734"/>
      <c r="AL371" s="734"/>
      <c r="AM371" s="734"/>
      <c r="AN371" s="734"/>
      <c r="AO371" s="734"/>
      <c r="AP371" s="734"/>
      <c r="AQ371" s="734"/>
      <c r="AR371" s="734"/>
      <c r="AS371" s="734"/>
      <c r="AT371" s="734"/>
      <c r="AU371" s="734"/>
      <c r="AV371" s="734"/>
      <c r="AW371" s="734"/>
      <c r="AX371" s="734"/>
      <c r="AY371" s="734"/>
      <c r="AZ371" s="734"/>
      <c r="BA371" s="734"/>
      <c r="BB371" s="734"/>
      <c r="BC371" s="734"/>
      <c r="BD371" s="734"/>
      <c r="BE371" s="734"/>
      <c r="BF371" s="734"/>
      <c r="BG371" s="734"/>
      <c r="BH371" s="734"/>
      <c r="BI371" s="734"/>
      <c r="BJ371" s="734"/>
      <c r="BK371" s="734"/>
      <c r="BL371" s="734"/>
      <c r="BM371" s="734"/>
      <c r="BN371" s="734"/>
      <c r="BO371" s="734"/>
      <c r="BP371" s="734"/>
      <c r="BQ371" s="734"/>
      <c r="BR371" s="734"/>
      <c r="BS371" s="734"/>
      <c r="BT371" s="734"/>
      <c r="BU371" s="734"/>
      <c r="BV371" s="734"/>
      <c r="BW371" s="734"/>
      <c r="BX371" s="734"/>
      <c r="BY371" s="734"/>
      <c r="BZ371" s="734"/>
      <c r="CA371" s="734"/>
      <c r="CB371" s="734"/>
      <c r="CC371" s="734"/>
      <c r="CD371" s="734"/>
      <c r="CE371" s="734"/>
      <c r="CF371" s="734"/>
      <c r="CG371" s="734"/>
      <c r="CH371" s="734"/>
      <c r="CI371" s="734"/>
      <c r="CJ371" s="734"/>
      <c r="CK371" s="734"/>
      <c r="CL371" s="734"/>
      <c r="CM371" s="734"/>
      <c r="CN371" s="734"/>
      <c r="CO371" s="734"/>
      <c r="CP371" s="734"/>
      <c r="CQ371" s="734"/>
      <c r="CR371" s="734"/>
      <c r="CS371" s="734"/>
      <c r="CT371" s="734"/>
      <c r="CU371" s="734"/>
      <c r="CV371" s="734"/>
      <c r="CW371" s="734"/>
      <c r="CX371" s="734"/>
      <c r="CY371" s="734"/>
      <c r="CZ371" s="734"/>
      <c r="DA371" s="734"/>
      <c r="DB371" s="734"/>
      <c r="DC371" s="734"/>
      <c r="DD371" s="734"/>
      <c r="DE371" s="734"/>
      <c r="DF371" s="734"/>
      <c r="DG371" s="734"/>
      <c r="DH371" s="734"/>
      <c r="DI371" s="734"/>
      <c r="DJ371" s="734"/>
      <c r="DK371" s="734"/>
      <c r="DL371" s="734"/>
      <c r="DM371" s="734"/>
      <c r="DN371" s="734"/>
      <c r="DO371" s="734"/>
      <c r="DP371" s="734"/>
      <c r="DQ371" s="734"/>
      <c r="DR371" s="734"/>
      <c r="DS371" s="734"/>
      <c r="DT371" s="734"/>
      <c r="DU371" s="734"/>
      <c r="DV371" s="734"/>
      <c r="DW371" s="734"/>
      <c r="DX371" s="734"/>
      <c r="DY371" s="734"/>
      <c r="DZ371" s="734"/>
      <c r="EA371" s="734"/>
      <c r="EB371" s="734"/>
      <c r="EC371" s="734"/>
      <c r="ED371" s="734"/>
      <c r="EE371" s="734"/>
      <c r="EF371" s="734"/>
      <c r="EG371" s="734"/>
      <c r="EH371" s="734"/>
      <c r="EI371" s="734"/>
      <c r="EJ371" s="734"/>
      <c r="EK371" s="734"/>
      <c r="EL371" s="734"/>
      <c r="EM371" s="734"/>
      <c r="EN371" s="734"/>
      <c r="EO371" s="734"/>
      <c r="EP371" s="734"/>
      <c r="EQ371" s="734"/>
      <c r="ER371" s="734"/>
      <c r="ES371" s="734"/>
      <c r="ET371" s="734"/>
      <c r="EU371" s="734"/>
      <c r="EV371" s="734"/>
      <c r="EW371" s="734"/>
      <c r="EX371" s="734"/>
      <c r="EY371" s="734"/>
      <c r="EZ371" s="734"/>
      <c r="FA371" s="734"/>
      <c r="FB371" s="734"/>
      <c r="FC371" s="734"/>
      <c r="FD371" s="734"/>
      <c r="FE371" s="734"/>
      <c r="FF371" s="734"/>
      <c r="FG371" s="734"/>
      <c r="FH371" s="734"/>
      <c r="FI371" s="734"/>
      <c r="FJ371" s="734"/>
      <c r="FK371" s="734"/>
      <c r="FL371" s="734"/>
      <c r="FM371" s="734"/>
      <c r="FN371" s="734"/>
      <c r="FO371" s="734"/>
      <c r="FP371" s="734"/>
      <c r="FQ371" s="734"/>
      <c r="FR371" s="734"/>
      <c r="FS371" s="734"/>
      <c r="FT371" s="734"/>
      <c r="FU371" s="734"/>
      <c r="FV371" s="734"/>
      <c r="FW371" s="734"/>
      <c r="FX371" s="734"/>
      <c r="FY371" s="734"/>
      <c r="FZ371" s="734"/>
      <c r="GA371" s="734"/>
      <c r="GB371" s="734"/>
      <c r="GC371" s="734"/>
      <c r="GD371" s="734"/>
      <c r="GE371" s="734"/>
      <c r="GF371" s="734"/>
      <c r="GG371" s="734"/>
      <c r="GH371" s="734"/>
      <c r="GI371" s="734"/>
      <c r="GJ371" s="734"/>
      <c r="GK371" s="734"/>
      <c r="GL371" s="734"/>
      <c r="GM371" s="734"/>
      <c r="GN371" s="734"/>
      <c r="GO371" s="734"/>
      <c r="GP371" s="734"/>
      <c r="GQ371" s="734"/>
      <c r="GR371" s="734"/>
      <c r="GS371" s="734"/>
      <c r="GT371" s="734"/>
      <c r="GU371" s="734"/>
      <c r="GV371" s="734"/>
      <c r="GW371" s="734"/>
      <c r="GX371" s="734"/>
      <c r="GY371" s="734"/>
      <c r="GZ371" s="734"/>
      <c r="HA371" s="734"/>
    </row>
    <row r="372" spans="1:209" x14ac:dyDescent="0.25">
      <c r="A372" s="403"/>
      <c r="B372" s="404" t="s">
        <v>626</v>
      </c>
      <c r="C372" s="405">
        <f t="shared" ref="C372:U372" si="74">SUM(C5+C20+C24+C36+C38+C53+C65+C75+C80+C92+C112+C122+C138+C157+C161+C175+C180+C186+C237+C334+C366+C371)</f>
        <v>1841440.5330000001</v>
      </c>
      <c r="D372" s="405">
        <f t="shared" si="74"/>
        <v>80457.944999999992</v>
      </c>
      <c r="E372" s="405">
        <f t="shared" si="74"/>
        <v>842632.33100000012</v>
      </c>
      <c r="F372" s="405">
        <f t="shared" si="74"/>
        <v>582152.07699999993</v>
      </c>
      <c r="G372" s="405">
        <f t="shared" si="74"/>
        <v>350</v>
      </c>
      <c r="H372" s="405">
        <f t="shared" si="74"/>
        <v>335848.18000000005</v>
      </c>
      <c r="I372" s="405">
        <f t="shared" si="74"/>
        <v>2309673.8052599998</v>
      </c>
      <c r="J372" s="405">
        <f t="shared" si="74"/>
        <v>209399.18465000001</v>
      </c>
      <c r="K372" s="405">
        <f t="shared" si="74"/>
        <v>1078431.0854899997</v>
      </c>
      <c r="L372" s="405">
        <f>SUM(L5+L20+L24+L36+L38+L53+L65+L75+L80+L92+L112+L122+L138+L157+L161+L175+L180+L186+L237+L334+L366+L371)+0.01</f>
        <v>680447.14072999998</v>
      </c>
      <c r="M372" s="405">
        <f t="shared" si="74"/>
        <v>3195.6488800000002</v>
      </c>
      <c r="N372" s="405">
        <f t="shared" si="74"/>
        <v>338200.75550999999</v>
      </c>
      <c r="O372" s="405">
        <f t="shared" si="74"/>
        <v>2278856.30828</v>
      </c>
      <c r="P372" s="405">
        <f t="shared" si="74"/>
        <v>197005.64812000003</v>
      </c>
      <c r="Q372" s="405">
        <f t="shared" si="74"/>
        <v>1069349.26566</v>
      </c>
      <c r="R372" s="405">
        <f t="shared" si="74"/>
        <v>671433.37161000003</v>
      </c>
      <c r="S372" s="405">
        <f t="shared" si="74"/>
        <v>3195.6488800000002</v>
      </c>
      <c r="T372" s="405">
        <f t="shared" si="74"/>
        <v>337872.37401000003</v>
      </c>
      <c r="U372" s="405">
        <f t="shared" si="74"/>
        <v>1755510.2553499998</v>
      </c>
      <c r="V372" s="51">
        <f>O372/I372*100</f>
        <v>98.665720808288299</v>
      </c>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c r="BK372" s="51"/>
      <c r="BL372" s="51"/>
      <c r="BM372" s="51"/>
      <c r="BN372" s="51"/>
      <c r="BO372" s="51"/>
      <c r="BP372" s="51"/>
      <c r="BQ372" s="51"/>
      <c r="BR372" s="51"/>
      <c r="BS372" s="51"/>
      <c r="BT372" s="51"/>
      <c r="BU372" s="51"/>
      <c r="BV372" s="51"/>
      <c r="BW372" s="51"/>
      <c r="BX372" s="51"/>
      <c r="BY372" s="51"/>
      <c r="BZ372" s="51"/>
      <c r="CA372" s="51"/>
      <c r="CB372" s="51"/>
      <c r="CC372" s="51"/>
      <c r="CD372" s="51"/>
      <c r="CE372" s="51"/>
      <c r="CF372" s="51"/>
      <c r="CG372" s="51"/>
      <c r="CH372" s="51"/>
      <c r="CI372" s="51"/>
      <c r="CJ372" s="51"/>
      <c r="CK372" s="51"/>
      <c r="CL372" s="51"/>
      <c r="CM372" s="51"/>
      <c r="CN372" s="51"/>
      <c r="CO372" s="51"/>
      <c r="CP372" s="51"/>
      <c r="CQ372" s="51"/>
      <c r="CR372" s="51"/>
      <c r="CS372" s="51"/>
      <c r="CT372" s="51"/>
      <c r="CU372" s="51"/>
      <c r="CV372" s="51"/>
      <c r="CW372" s="51"/>
      <c r="CX372" s="51"/>
      <c r="CY372" s="51"/>
      <c r="CZ372" s="51"/>
      <c r="DA372" s="51"/>
      <c r="DB372" s="51"/>
      <c r="DC372" s="51"/>
      <c r="DD372" s="51"/>
      <c r="DE372" s="51"/>
      <c r="DF372" s="51"/>
      <c r="DG372" s="51"/>
      <c r="DH372" s="51"/>
      <c r="DI372" s="51"/>
      <c r="DJ372" s="51"/>
      <c r="DK372" s="51"/>
      <c r="DL372" s="51"/>
      <c r="DM372" s="51"/>
      <c r="DN372" s="51"/>
      <c r="DO372" s="51"/>
      <c r="DP372" s="51"/>
      <c r="DQ372" s="51"/>
      <c r="DR372" s="51"/>
      <c r="DS372" s="51"/>
      <c r="DT372" s="51"/>
      <c r="DU372" s="51"/>
      <c r="DV372" s="51"/>
      <c r="DW372" s="51"/>
      <c r="DX372" s="51"/>
      <c r="DY372" s="51"/>
      <c r="DZ372" s="51"/>
      <c r="EA372" s="51"/>
      <c r="EB372" s="51"/>
      <c r="EC372" s="51"/>
      <c r="ED372" s="51"/>
      <c r="EE372" s="51"/>
      <c r="EF372" s="51"/>
      <c r="EG372" s="51"/>
      <c r="EH372" s="51"/>
      <c r="EI372" s="51"/>
      <c r="EJ372" s="51"/>
      <c r="EK372" s="51"/>
      <c r="EL372" s="51"/>
      <c r="EM372" s="51"/>
      <c r="EN372" s="51"/>
      <c r="EO372" s="51"/>
      <c r="EP372" s="51"/>
      <c r="EQ372" s="51"/>
      <c r="ER372" s="51"/>
      <c r="ES372" s="51"/>
      <c r="ET372" s="51"/>
      <c r="EU372" s="51"/>
      <c r="EV372" s="51"/>
      <c r="EW372" s="51"/>
      <c r="EX372" s="51"/>
      <c r="EY372" s="51"/>
      <c r="EZ372" s="51"/>
      <c r="FA372" s="51"/>
      <c r="FB372" s="51"/>
      <c r="FC372" s="51"/>
      <c r="FD372" s="51"/>
      <c r="FE372" s="51"/>
      <c r="FF372" s="51"/>
      <c r="FG372" s="51"/>
      <c r="FH372" s="51"/>
      <c r="FI372" s="51"/>
      <c r="FJ372" s="51"/>
      <c r="FK372" s="51"/>
      <c r="FL372" s="51"/>
      <c r="FM372" s="51"/>
      <c r="FN372" s="51"/>
      <c r="FO372" s="51"/>
      <c r="FP372" s="51"/>
      <c r="FQ372" s="51"/>
      <c r="FR372" s="51"/>
      <c r="FS372" s="51"/>
      <c r="FT372" s="51"/>
      <c r="FU372" s="51"/>
      <c r="FV372" s="51"/>
      <c r="FW372" s="51"/>
      <c r="FX372" s="51"/>
      <c r="FY372" s="51"/>
      <c r="FZ372" s="51"/>
      <c r="GA372" s="51"/>
      <c r="GB372" s="51"/>
      <c r="GC372" s="51"/>
      <c r="GD372" s="51"/>
      <c r="GE372" s="51"/>
      <c r="GF372" s="51"/>
      <c r="GG372" s="51"/>
      <c r="GH372" s="51"/>
      <c r="GI372" s="51"/>
      <c r="GJ372" s="51"/>
      <c r="GK372" s="51"/>
      <c r="GL372" s="51"/>
      <c r="GM372" s="51"/>
      <c r="GN372" s="51"/>
      <c r="GO372" s="51"/>
      <c r="GP372" s="51"/>
      <c r="GQ372" s="51"/>
      <c r="GR372" s="51"/>
      <c r="GS372" s="51"/>
      <c r="GT372" s="51"/>
      <c r="GU372" s="51"/>
      <c r="GV372" s="51"/>
      <c r="GW372" s="51"/>
      <c r="GX372" s="51"/>
      <c r="GY372" s="51"/>
      <c r="GZ372" s="51"/>
      <c r="HA372" s="51"/>
    </row>
    <row r="373" spans="1:209" s="508" customFormat="1" x14ac:dyDescent="0.25">
      <c r="A373" s="505"/>
      <c r="B373" s="506"/>
      <c r="C373" s="507"/>
      <c r="D373" s="507"/>
      <c r="E373" s="507"/>
      <c r="F373" s="507"/>
      <c r="G373" s="507"/>
      <c r="H373" s="507"/>
      <c r="I373" s="507"/>
      <c r="J373" s="507"/>
      <c r="K373" s="507"/>
      <c r="L373" s="507"/>
      <c r="M373" s="507"/>
      <c r="N373" s="507"/>
      <c r="O373" s="507"/>
      <c r="P373" s="507"/>
      <c r="Q373" s="507"/>
      <c r="R373" s="507"/>
      <c r="S373" s="507"/>
      <c r="T373" s="507"/>
      <c r="U373" s="507"/>
    </row>
    <row r="374" spans="1:209" s="508" customFormat="1" x14ac:dyDescent="0.25">
      <c r="A374" s="505"/>
      <c r="B374" s="168" t="s">
        <v>926</v>
      </c>
      <c r="C374" s="507"/>
      <c r="D374" s="507"/>
      <c r="E374" s="507"/>
      <c r="F374" s="507"/>
      <c r="G374" s="507"/>
      <c r="H374" s="507"/>
      <c r="I374" s="507"/>
      <c r="J374" s="507"/>
      <c r="K374" s="507"/>
      <c r="L374" s="507"/>
      <c r="M374" s="507"/>
      <c r="N374" s="507"/>
      <c r="O374" s="507"/>
      <c r="P374" s="507"/>
      <c r="Q374" s="507"/>
      <c r="R374" s="507"/>
      <c r="S374" s="507"/>
      <c r="T374" s="507"/>
      <c r="U374" s="507"/>
    </row>
    <row r="375" spans="1:209" s="508" customFormat="1" x14ac:dyDescent="0.25">
      <c r="A375" s="505"/>
      <c r="B375" s="168" t="s">
        <v>927</v>
      </c>
      <c r="C375" s="507"/>
      <c r="D375" s="507"/>
      <c r="E375" s="507"/>
      <c r="F375" s="507"/>
      <c r="G375" s="507"/>
      <c r="H375" s="507"/>
      <c r="I375" s="507"/>
      <c r="J375" s="507"/>
      <c r="K375" s="507"/>
      <c r="L375" s="507"/>
      <c r="M375" s="507"/>
      <c r="N375" s="507"/>
      <c r="O375" s="507"/>
      <c r="P375" s="507"/>
      <c r="Q375" s="507"/>
      <c r="R375" s="507"/>
      <c r="S375" s="507"/>
      <c r="T375" s="507"/>
      <c r="U375" s="507"/>
    </row>
    <row r="376" spans="1:209" s="508" customFormat="1" x14ac:dyDescent="0.25">
      <c r="A376" s="505"/>
      <c r="B376" s="506"/>
      <c r="C376" s="507"/>
      <c r="D376" s="507"/>
      <c r="E376" s="507"/>
      <c r="F376" s="507"/>
      <c r="G376" s="507"/>
      <c r="H376" s="507"/>
      <c r="I376" s="507"/>
      <c r="J376" s="507"/>
      <c r="K376" s="507"/>
      <c r="L376" s="507"/>
      <c r="M376" s="507"/>
      <c r="N376" s="507"/>
      <c r="O376" s="507"/>
      <c r="P376" s="507"/>
      <c r="Q376" s="507"/>
      <c r="R376" s="507"/>
      <c r="S376" s="507"/>
      <c r="T376" s="507"/>
    </row>
    <row r="377" spans="1:209" x14ac:dyDescent="0.25">
      <c r="J377" s="502"/>
      <c r="K377" s="502"/>
      <c r="L377" s="502"/>
      <c r="M377" s="503"/>
      <c r="N377" s="502"/>
    </row>
    <row r="380" spans="1:209" ht="36" customHeight="1" x14ac:dyDescent="0.25">
      <c r="L380" s="636"/>
      <c r="R380" s="636"/>
    </row>
    <row r="381" spans="1:209" x14ac:dyDescent="0.25">
      <c r="K381" s="67"/>
    </row>
    <row r="383" spans="1:209" x14ac:dyDescent="0.25">
      <c r="F383" s="89"/>
      <c r="L383" s="89"/>
      <c r="R383" s="89"/>
    </row>
    <row r="384" spans="1:209" x14ac:dyDescent="0.25">
      <c r="F384" s="89"/>
    </row>
    <row r="386" spans="22:22" x14ac:dyDescent="0.25">
      <c r="V386" s="51"/>
    </row>
  </sheetData>
  <autoFilter ref="A3:T378">
    <filterColumn colId="2" showButton="0"/>
    <filterColumn colId="3" showButton="0"/>
    <filterColumn colId="4" showButton="0"/>
    <filterColumn colId="5" showButton="0"/>
    <filterColumn colId="6" showButton="0"/>
    <filterColumn colId="8" showButton="0"/>
    <filterColumn colId="9" showButton="0"/>
    <filterColumn colId="10" showButton="0"/>
    <filterColumn colId="11" showButton="0"/>
    <filterColumn colId="12" showButton="0"/>
    <filterColumn colId="14" showButton="0"/>
    <filterColumn colId="15" showButton="0"/>
    <filterColumn colId="16" showButton="0"/>
    <filterColumn colId="17" showButton="0"/>
    <filterColumn colId="18" showButton="0"/>
  </autoFilter>
  <mergeCells count="7">
    <mergeCell ref="B1:T1"/>
    <mergeCell ref="A3:A4"/>
    <mergeCell ref="B3:B4"/>
    <mergeCell ref="C3:H3"/>
    <mergeCell ref="I3:N3"/>
    <mergeCell ref="O3:T3"/>
    <mergeCell ref="C2:H2"/>
  </mergeCells>
  <conditionalFormatting sqref="B188:B190 B224:B236 B210:B222 B192:B207">
    <cfRule type="cellIs" dxfId="13" priority="6" stopIfTrue="1" operator="equal">
      <formula>0</formula>
    </cfRule>
  </conditionalFormatting>
  <conditionalFormatting sqref="B191">
    <cfRule type="cellIs" dxfId="12" priority="4" stopIfTrue="1" operator="equal">
      <formula>0</formula>
    </cfRule>
  </conditionalFormatting>
  <conditionalFormatting sqref="B208">
    <cfRule type="cellIs" dxfId="11" priority="3" stopIfTrue="1" operator="equal">
      <formula>0</formula>
    </cfRule>
  </conditionalFormatting>
  <conditionalFormatting sqref="B209">
    <cfRule type="cellIs" dxfId="10" priority="2" stopIfTrue="1" operator="equal">
      <formula>0</formula>
    </cfRule>
  </conditionalFormatting>
  <conditionalFormatting sqref="B223">
    <cfRule type="cellIs" dxfId="9" priority="1" stopIfTrue="1" operator="equal">
      <formula>0</formula>
    </cfRule>
  </conditionalFormatting>
  <pageMargins left="0.25" right="0.25" top="0.75" bottom="0.75" header="0.3" footer="0.3"/>
  <pageSetup paperSize="9" scale="2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5"/>
  <sheetViews>
    <sheetView zoomScale="78" zoomScaleNormal="78" workbookViewId="0">
      <pane ySplit="4" topLeftCell="A5" activePane="bottomLeft" state="frozen"/>
      <selection activeCell="D36" sqref="D36"/>
      <selection pane="bottomLeft" activeCell="I375" sqref="A1:I375"/>
    </sheetView>
  </sheetViews>
  <sheetFormatPr defaultRowHeight="15.75" x14ac:dyDescent="0.25"/>
  <cols>
    <col min="1" max="1" width="9.140625" style="51"/>
    <col min="2" max="2" width="62.28515625" style="51" customWidth="1"/>
    <col min="3" max="3" width="16.7109375" style="51" customWidth="1"/>
    <col min="4" max="4" width="16.140625" style="51" customWidth="1"/>
    <col min="5" max="5" width="12.5703125" style="51" customWidth="1"/>
    <col min="6" max="6" width="15.85546875" style="74" hidden="1" customWidth="1"/>
    <col min="7" max="7" width="16.7109375" style="51" bestFit="1" customWidth="1"/>
    <col min="8" max="8" width="61.28515625" style="106" customWidth="1"/>
    <col min="9" max="9" width="29.140625" style="51" customWidth="1"/>
    <col min="10" max="10" width="33.7109375" style="51" customWidth="1"/>
    <col min="11" max="16384" width="9.140625" style="51"/>
  </cols>
  <sheetData>
    <row r="1" spans="1:10" x14ac:dyDescent="0.25">
      <c r="A1" s="786" t="s">
        <v>627</v>
      </c>
      <c r="B1" s="787"/>
      <c r="C1" s="787"/>
      <c r="D1" s="787"/>
      <c r="E1" s="787"/>
      <c r="F1" s="788"/>
      <c r="G1" s="787"/>
      <c r="H1" s="787"/>
    </row>
    <row r="2" spans="1:10" x14ac:dyDescent="0.25">
      <c r="A2" s="786" t="s">
        <v>1206</v>
      </c>
      <c r="B2" s="787"/>
      <c r="C2" s="787"/>
      <c r="D2" s="787"/>
      <c r="E2" s="787"/>
      <c r="F2" s="788"/>
      <c r="G2" s="787"/>
      <c r="H2" s="787"/>
    </row>
    <row r="3" spans="1:10" x14ac:dyDescent="0.25">
      <c r="A3" s="786"/>
      <c r="B3" s="787"/>
      <c r="C3" s="787"/>
      <c r="D3" s="787"/>
      <c r="E3" s="787"/>
      <c r="F3" s="788"/>
      <c r="G3" s="787"/>
      <c r="H3" s="787"/>
    </row>
    <row r="4" spans="1:10" ht="110.25" x14ac:dyDescent="0.25">
      <c r="A4" s="15" t="s">
        <v>628</v>
      </c>
      <c r="B4" s="15" t="s">
        <v>629</v>
      </c>
      <c r="C4" s="15" t="s">
        <v>630</v>
      </c>
      <c r="D4" s="15" t="s">
        <v>631</v>
      </c>
      <c r="E4" s="15" t="s">
        <v>632</v>
      </c>
      <c r="F4" s="19" t="s">
        <v>965</v>
      </c>
      <c r="G4" s="15" t="s">
        <v>633</v>
      </c>
      <c r="H4" s="16" t="s">
        <v>634</v>
      </c>
      <c r="I4" s="15" t="s">
        <v>635</v>
      </c>
    </row>
    <row r="5" spans="1:10" s="82" customFormat="1" ht="58.5" customHeight="1" x14ac:dyDescent="0.25">
      <c r="A5" s="574">
        <v>1</v>
      </c>
      <c r="B5" s="84" t="str">
        <f>свод!B5</f>
        <v xml:space="preserve">Муниципальная программа «Обеспечение качественным жильем и повышение качества жилищно-коммунальных услуг в МР «Горный улус» на 2020-2024годы» </v>
      </c>
      <c r="C5" s="92">
        <f>SUM(C6+C16+C18)+C22</f>
        <v>12171.86262</v>
      </c>
      <c r="D5" s="92">
        <f>SUM(D6+D16+D18)+D22</f>
        <v>10460.59132</v>
      </c>
      <c r="E5" s="93">
        <f t="shared" ref="E5:E19" si="0">SUM(D5/C5*100)</f>
        <v>85.940760642597525</v>
      </c>
      <c r="F5" s="94">
        <f>D5/(C5/4*4)*100</f>
        <v>85.940760642597525</v>
      </c>
      <c r="G5" s="93">
        <f>SUM(C5-D5)</f>
        <v>1711.2713000000003</v>
      </c>
      <c r="H5" s="102"/>
      <c r="I5" s="88" t="s">
        <v>654</v>
      </c>
      <c r="J5" s="91" t="s">
        <v>873</v>
      </c>
    </row>
    <row r="6" spans="1:10" ht="47.25" x14ac:dyDescent="0.25">
      <c r="A6" s="56"/>
      <c r="B6" s="57" t="s">
        <v>903</v>
      </c>
      <c r="C6" s="180">
        <f>C7+C15</f>
        <v>2225.9949999999999</v>
      </c>
      <c r="D6" s="180">
        <f>D7+D15</f>
        <v>1126.75</v>
      </c>
      <c r="E6" s="181">
        <f t="shared" si="0"/>
        <v>50.6178136069488</v>
      </c>
      <c r="F6" s="95"/>
      <c r="G6" s="96">
        <f>SUM(C6-D6)</f>
        <v>1099.2449999999999</v>
      </c>
      <c r="H6" s="64"/>
      <c r="I6" s="66"/>
    </row>
    <row r="7" spans="1:10" s="148" customFormat="1" ht="31.5" x14ac:dyDescent="0.25">
      <c r="A7" s="114"/>
      <c r="B7" s="174" t="s">
        <v>904</v>
      </c>
      <c r="C7" s="182">
        <f>SUM(C8:C14)</f>
        <v>1625.9949999999999</v>
      </c>
      <c r="D7" s="182">
        <f>SUM(D8:D14)</f>
        <v>1126.75</v>
      </c>
      <c r="E7" s="183">
        <f>SUM(D7/C7*100)</f>
        <v>69.296031045605915</v>
      </c>
      <c r="F7" s="153"/>
      <c r="G7" s="155">
        <f>SUM(C7-D7)</f>
        <v>499.24499999999989</v>
      </c>
      <c r="H7" s="143" t="s">
        <v>893</v>
      </c>
      <c r="I7" s="144"/>
    </row>
    <row r="8" spans="1:10" s="168" customFormat="1" ht="78.75" x14ac:dyDescent="0.25">
      <c r="A8" s="140"/>
      <c r="B8" s="569" t="s">
        <v>894</v>
      </c>
      <c r="C8" s="570">
        <v>498</v>
      </c>
      <c r="D8" s="571">
        <v>498</v>
      </c>
      <c r="E8" s="183">
        <f t="shared" si="0"/>
        <v>100</v>
      </c>
      <c r="F8" s="153"/>
      <c r="G8" s="155">
        <f t="shared" ref="G8:G29" si="1">SUM(C8-D8)</f>
        <v>0</v>
      </c>
      <c r="H8" s="137" t="s">
        <v>981</v>
      </c>
      <c r="I8" s="145"/>
    </row>
    <row r="9" spans="1:10" s="168" customFormat="1" ht="47.25" x14ac:dyDescent="0.25">
      <c r="A9" s="140"/>
      <c r="B9" s="569" t="s">
        <v>895</v>
      </c>
      <c r="C9" s="570">
        <v>200</v>
      </c>
      <c r="D9" s="571">
        <v>200</v>
      </c>
      <c r="E9" s="183">
        <f t="shared" si="0"/>
        <v>100</v>
      </c>
      <c r="F9" s="153"/>
      <c r="G9" s="155">
        <f t="shared" si="1"/>
        <v>0</v>
      </c>
      <c r="H9" s="137" t="s">
        <v>982</v>
      </c>
      <c r="I9" s="145"/>
    </row>
    <row r="10" spans="1:10" s="168" customFormat="1" ht="47.25" x14ac:dyDescent="0.25">
      <c r="A10" s="140"/>
      <c r="B10" s="569" t="s">
        <v>896</v>
      </c>
      <c r="C10" s="570">
        <v>208.75</v>
      </c>
      <c r="D10" s="571">
        <v>208.75</v>
      </c>
      <c r="E10" s="183">
        <f t="shared" si="0"/>
        <v>100</v>
      </c>
      <c r="F10" s="153"/>
      <c r="G10" s="155">
        <f t="shared" si="1"/>
        <v>0</v>
      </c>
      <c r="H10" s="401" t="s">
        <v>983</v>
      </c>
      <c r="I10" s="145"/>
    </row>
    <row r="11" spans="1:10" s="168" customFormat="1" ht="31.5" x14ac:dyDescent="0.25">
      <c r="A11" s="140"/>
      <c r="B11" s="569" t="s">
        <v>977</v>
      </c>
      <c r="C11" s="152">
        <v>120</v>
      </c>
      <c r="D11" s="571">
        <v>120</v>
      </c>
      <c r="E11" s="183">
        <f t="shared" si="0"/>
        <v>100</v>
      </c>
      <c r="F11" s="153"/>
      <c r="G11" s="155">
        <f t="shared" si="1"/>
        <v>0</v>
      </c>
      <c r="H11" s="401" t="s">
        <v>984</v>
      </c>
      <c r="I11" s="145"/>
    </row>
    <row r="12" spans="1:10" s="168" customFormat="1" ht="47.25" x14ac:dyDescent="0.25">
      <c r="A12" s="140"/>
      <c r="B12" s="569" t="s">
        <v>978</v>
      </c>
      <c r="C12" s="152">
        <v>450</v>
      </c>
      <c r="D12" s="571">
        <v>0</v>
      </c>
      <c r="E12" s="183">
        <f t="shared" si="0"/>
        <v>0</v>
      </c>
      <c r="F12" s="153"/>
      <c r="G12" s="155">
        <f t="shared" si="1"/>
        <v>450</v>
      </c>
      <c r="H12" s="401" t="s">
        <v>985</v>
      </c>
      <c r="I12" s="145"/>
    </row>
    <row r="13" spans="1:10" s="168" customFormat="1" ht="31.5" x14ac:dyDescent="0.25">
      <c r="A13" s="140"/>
      <c r="B13" s="569" t="s">
        <v>979</v>
      </c>
      <c r="C13" s="152">
        <v>100</v>
      </c>
      <c r="D13" s="152">
        <v>100</v>
      </c>
      <c r="E13" s="183">
        <f t="shared" si="0"/>
        <v>100</v>
      </c>
      <c r="F13" s="153"/>
      <c r="G13" s="155">
        <f t="shared" si="1"/>
        <v>0</v>
      </c>
      <c r="H13" s="401" t="s">
        <v>986</v>
      </c>
      <c r="I13" s="145"/>
    </row>
    <row r="14" spans="1:10" s="168" customFormat="1" ht="78.75" x14ac:dyDescent="0.25">
      <c r="A14" s="140"/>
      <c r="B14" s="142" t="s">
        <v>980</v>
      </c>
      <c r="C14" s="572">
        <v>49.244999999999997</v>
      </c>
      <c r="D14" s="572">
        <v>0</v>
      </c>
      <c r="E14" s="183">
        <f t="shared" si="0"/>
        <v>0</v>
      </c>
      <c r="F14" s="153"/>
      <c r="G14" s="155">
        <f t="shared" si="1"/>
        <v>49.244999999999997</v>
      </c>
      <c r="H14" s="401" t="s">
        <v>987</v>
      </c>
      <c r="I14" s="145"/>
    </row>
    <row r="15" spans="1:10" s="148" customFormat="1" ht="15.75" customHeight="1" x14ac:dyDescent="0.25">
      <c r="A15" s="114"/>
      <c r="B15" s="172" t="str">
        <f>свод!B8</f>
        <v>Развитие и освоение территорий</v>
      </c>
      <c r="C15" s="182">
        <f>свод!L8</f>
        <v>600</v>
      </c>
      <c r="D15" s="182">
        <v>0</v>
      </c>
      <c r="E15" s="183">
        <f t="shared" si="0"/>
        <v>0</v>
      </c>
      <c r="F15" s="153"/>
      <c r="G15" s="155">
        <f t="shared" si="1"/>
        <v>600</v>
      </c>
      <c r="H15" s="401" t="s">
        <v>988</v>
      </c>
      <c r="I15" s="144"/>
    </row>
    <row r="16" spans="1:10" ht="31.5" x14ac:dyDescent="0.25">
      <c r="A16" s="56"/>
      <c r="B16" s="57" t="s">
        <v>408</v>
      </c>
      <c r="C16" s="180">
        <f>SUM(C17:C17)</f>
        <v>3682.66</v>
      </c>
      <c r="D16" s="180">
        <f>SUM(D17:D17)</f>
        <v>3682.66</v>
      </c>
      <c r="E16" s="181">
        <f t="shared" si="0"/>
        <v>100</v>
      </c>
      <c r="F16" s="95"/>
      <c r="G16" s="155">
        <f t="shared" si="1"/>
        <v>0</v>
      </c>
      <c r="H16" s="64"/>
      <c r="I16" s="66"/>
    </row>
    <row r="17" spans="1:9" x14ac:dyDescent="0.25">
      <c r="A17" s="56"/>
      <c r="B17" s="58" t="s">
        <v>715</v>
      </c>
      <c r="C17" s="185">
        <f>свод!L11+свод!M11</f>
        <v>3682.66</v>
      </c>
      <c r="D17" s="185">
        <f>свод!R11+свод!S11</f>
        <v>3682.66</v>
      </c>
      <c r="E17" s="186">
        <f t="shared" si="0"/>
        <v>100</v>
      </c>
      <c r="F17" s="97"/>
      <c r="G17" s="155">
        <f t="shared" si="1"/>
        <v>0</v>
      </c>
      <c r="H17" s="68" t="s">
        <v>989</v>
      </c>
      <c r="I17" s="66"/>
    </row>
    <row r="18" spans="1:9" x14ac:dyDescent="0.25">
      <c r="A18" s="56"/>
      <c r="B18" s="57" t="s">
        <v>713</v>
      </c>
      <c r="C18" s="180">
        <f>SUM(C19:C21)</f>
        <v>3435.99</v>
      </c>
      <c r="D18" s="180">
        <f>SUM(D19:D21)</f>
        <v>3114.35</v>
      </c>
      <c r="E18" s="181">
        <f t="shared" si="0"/>
        <v>90.639088006658923</v>
      </c>
      <c r="F18" s="95"/>
      <c r="G18" s="155">
        <f>SUM(C18-D18)</f>
        <v>321.63999999999987</v>
      </c>
      <c r="H18" s="64"/>
      <c r="I18" s="66"/>
    </row>
    <row r="19" spans="1:9" x14ac:dyDescent="0.25">
      <c r="A19" s="56"/>
      <c r="B19" s="58" t="s">
        <v>412</v>
      </c>
      <c r="C19" s="185">
        <v>1490.47</v>
      </c>
      <c r="D19" s="185">
        <v>1168.83</v>
      </c>
      <c r="E19" s="186">
        <f t="shared" si="0"/>
        <v>78.420229860379607</v>
      </c>
      <c r="F19" s="97"/>
      <c r="G19" s="155">
        <f t="shared" si="1"/>
        <v>321.6400000000001</v>
      </c>
      <c r="H19" s="173" t="s">
        <v>897</v>
      </c>
      <c r="I19" s="66"/>
    </row>
    <row r="20" spans="1:9" s="168" customFormat="1" ht="31.5" x14ac:dyDescent="0.25">
      <c r="A20" s="140"/>
      <c r="B20" s="58" t="s">
        <v>992</v>
      </c>
      <c r="C20" s="185">
        <v>1375.52</v>
      </c>
      <c r="D20" s="185">
        <v>1375.52</v>
      </c>
      <c r="E20" s="186"/>
      <c r="F20" s="152"/>
      <c r="G20" s="155"/>
      <c r="H20" s="173"/>
      <c r="I20" s="145"/>
    </row>
    <row r="21" spans="1:9" x14ac:dyDescent="0.25">
      <c r="A21" s="56"/>
      <c r="B21" s="58" t="s">
        <v>990</v>
      </c>
      <c r="C21" s="187">
        <f>свод!L15</f>
        <v>570</v>
      </c>
      <c r="D21" s="187">
        <f>свод!R15</f>
        <v>570</v>
      </c>
      <c r="E21" s="186">
        <f t="shared" ref="E21:E29" si="2">SUM(D21/C21*100)</f>
        <v>100</v>
      </c>
      <c r="F21" s="152"/>
      <c r="G21" s="155">
        <f t="shared" si="1"/>
        <v>0</v>
      </c>
      <c r="H21" s="573"/>
      <c r="I21" s="66"/>
    </row>
    <row r="22" spans="1:9" ht="31.5" x14ac:dyDescent="0.25">
      <c r="A22" s="56"/>
      <c r="B22" s="57" t="str">
        <f>свод!B16</f>
        <v xml:space="preserve">Содействие развитию благоустройства территорий муниципальных образований </v>
      </c>
      <c r="C22" s="181">
        <f>C23+C28+C29</f>
        <v>2827.2176199999999</v>
      </c>
      <c r="D22" s="181">
        <f>D23+D28+D29</f>
        <v>2536.8313200000002</v>
      </c>
      <c r="E22" s="181">
        <f t="shared" si="2"/>
        <v>89.728901732014549</v>
      </c>
      <c r="F22" s="95"/>
      <c r="G22" s="155">
        <f t="shared" si="1"/>
        <v>290.38629999999966</v>
      </c>
      <c r="H22" s="64"/>
      <c r="I22" s="66"/>
    </row>
    <row r="23" spans="1:9" s="148" customFormat="1" x14ac:dyDescent="0.25">
      <c r="A23" s="114"/>
      <c r="B23" s="174" t="str">
        <f>свод!B17</f>
        <v>Обустройство мест размещения отходов</v>
      </c>
      <c r="C23" s="183">
        <f>SUM(C24:C27)</f>
        <v>1530.2176199999999</v>
      </c>
      <c r="D23" s="183">
        <f>SUM(D24:D27)</f>
        <v>1239.83132</v>
      </c>
      <c r="E23" s="183">
        <f t="shared" si="2"/>
        <v>81.023202438356464</v>
      </c>
      <c r="F23" s="153"/>
      <c r="G23" s="155">
        <f t="shared" si="1"/>
        <v>290.38629999999989</v>
      </c>
      <c r="H23" s="158"/>
      <c r="I23" s="144"/>
    </row>
    <row r="24" spans="1:9" s="168" customFormat="1" ht="125.25" customHeight="1" x14ac:dyDescent="0.25">
      <c r="A24" s="140"/>
      <c r="B24" s="169" t="s">
        <v>898</v>
      </c>
      <c r="C24" s="186">
        <f>664.83497+40</f>
        <v>704.83497</v>
      </c>
      <c r="D24" s="186">
        <f>664.83497+40</f>
        <v>704.83497</v>
      </c>
      <c r="E24" s="183">
        <f t="shared" si="2"/>
        <v>100</v>
      </c>
      <c r="F24" s="152"/>
      <c r="G24" s="155">
        <f t="shared" si="1"/>
        <v>0</v>
      </c>
      <c r="H24" s="175" t="s">
        <v>993</v>
      </c>
      <c r="I24" s="146"/>
    </row>
    <row r="25" spans="1:9" s="168" customFormat="1" x14ac:dyDescent="0.25">
      <c r="A25" s="140"/>
      <c r="B25" s="118" t="s">
        <v>714</v>
      </c>
      <c r="C25" s="184">
        <v>451.11</v>
      </c>
      <c r="D25" s="184">
        <v>451.11</v>
      </c>
      <c r="E25" s="183">
        <f t="shared" si="2"/>
        <v>100</v>
      </c>
      <c r="F25" s="152"/>
      <c r="G25" s="155">
        <f t="shared" si="1"/>
        <v>0</v>
      </c>
      <c r="H25" s="141" t="s">
        <v>991</v>
      </c>
      <c r="I25" s="146"/>
    </row>
    <row r="26" spans="1:9" s="168" customFormat="1" ht="47.25" x14ac:dyDescent="0.25">
      <c r="A26" s="140"/>
      <c r="B26" s="118" t="s">
        <v>899</v>
      </c>
      <c r="C26" s="188">
        <v>215.72264999999999</v>
      </c>
      <c r="D26" s="184">
        <v>36.321350000000002</v>
      </c>
      <c r="E26" s="183">
        <f t="shared" si="2"/>
        <v>16.837059066352097</v>
      </c>
      <c r="F26" s="152"/>
      <c r="G26" s="155">
        <f t="shared" si="1"/>
        <v>179.40129999999999</v>
      </c>
      <c r="H26" s="177" t="s">
        <v>901</v>
      </c>
      <c r="I26" s="146"/>
    </row>
    <row r="27" spans="1:9" s="168" customFormat="1" x14ac:dyDescent="0.25">
      <c r="A27" s="140"/>
      <c r="B27" s="171" t="s">
        <v>900</v>
      </c>
      <c r="C27" s="188">
        <v>158.55000000000001</v>
      </c>
      <c r="D27" s="184">
        <v>47.564999999999998</v>
      </c>
      <c r="E27" s="183">
        <f t="shared" si="2"/>
        <v>30</v>
      </c>
      <c r="F27" s="152"/>
      <c r="G27" s="155">
        <f t="shared" si="1"/>
        <v>110.98500000000001</v>
      </c>
      <c r="H27" s="176" t="s">
        <v>902</v>
      </c>
      <c r="I27" s="146"/>
    </row>
    <row r="28" spans="1:9" s="148" customFormat="1" x14ac:dyDescent="0.25">
      <c r="A28" s="114"/>
      <c r="B28" s="174" t="str">
        <f>свод!B18</f>
        <v>Снос здания д/с Умка</v>
      </c>
      <c r="C28" s="183">
        <f>свод!L18</f>
        <v>347</v>
      </c>
      <c r="D28" s="183">
        <f>свод!R18</f>
        <v>347</v>
      </c>
      <c r="E28" s="183">
        <f t="shared" si="2"/>
        <v>100</v>
      </c>
      <c r="F28" s="153"/>
      <c r="G28" s="155">
        <f t="shared" si="1"/>
        <v>0</v>
      </c>
      <c r="H28" s="141"/>
      <c r="I28" s="170"/>
    </row>
    <row r="29" spans="1:9" s="148" customFormat="1" x14ac:dyDescent="0.25">
      <c r="A29" s="114"/>
      <c r="B29" s="174" t="str">
        <f>свод!B19</f>
        <v>Перевозка песка для парковочных стоянок</v>
      </c>
      <c r="C29" s="183">
        <f>свод!L19</f>
        <v>950</v>
      </c>
      <c r="D29" s="183">
        <f>свод!R19</f>
        <v>950</v>
      </c>
      <c r="E29" s="183">
        <f t="shared" si="2"/>
        <v>100</v>
      </c>
      <c r="F29" s="153"/>
      <c r="G29" s="155">
        <f t="shared" si="1"/>
        <v>0</v>
      </c>
      <c r="H29" s="141"/>
      <c r="I29" s="170"/>
    </row>
    <row r="30" spans="1:9" s="283" customFormat="1" ht="31.5" x14ac:dyDescent="0.25">
      <c r="A30" s="551">
        <v>2</v>
      </c>
      <c r="B30" s="79" t="str">
        <f>свод!B20</f>
        <v>Муниципальная программа «Развитие  дорожного хозяйства в МР «Горный улус» на 2020-2024 годы»</v>
      </c>
      <c r="C30" s="269">
        <f>SUM(C31+C39)+C36</f>
        <v>18257.159999999996</v>
      </c>
      <c r="D30" s="269">
        <f>SUM(D31+D39)+D36</f>
        <v>15925.439999999999</v>
      </c>
      <c r="E30" s="269">
        <f t="shared" ref="E30:E35" si="3">SUM(D30/C30*100)</f>
        <v>87.22846269627918</v>
      </c>
      <c r="F30" s="270">
        <f>D30/(C30/4*4)*100</f>
        <v>87.22846269627918</v>
      </c>
      <c r="G30" s="269">
        <f t="shared" ref="G30:G35" si="4">SUM(C30-D30)</f>
        <v>2331.7199999999975</v>
      </c>
      <c r="H30" s="271"/>
      <c r="I30" s="282" t="s">
        <v>655</v>
      </c>
    </row>
    <row r="31" spans="1:9" s="8" customFormat="1" ht="15.75" customHeight="1" x14ac:dyDescent="0.25">
      <c r="A31" s="272"/>
      <c r="B31" s="284" t="s">
        <v>656</v>
      </c>
      <c r="C31" s="285">
        <f>SUM(C32:C35)</f>
        <v>4596.5199999999995</v>
      </c>
      <c r="D31" s="285">
        <f>SUM(D32:D35)</f>
        <v>4596.5199999999995</v>
      </c>
      <c r="E31" s="286">
        <f t="shared" si="3"/>
        <v>100</v>
      </c>
      <c r="F31" s="286"/>
      <c r="G31" s="287">
        <f t="shared" si="4"/>
        <v>0</v>
      </c>
      <c r="H31" s="288"/>
      <c r="I31" s="289"/>
    </row>
    <row r="32" spans="1:9" s="8" customFormat="1" ht="63" x14ac:dyDescent="0.25">
      <c r="A32" s="272"/>
      <c r="B32" s="290" t="s">
        <v>874</v>
      </c>
      <c r="C32" s="274">
        <v>3904.19</v>
      </c>
      <c r="D32" s="291">
        <v>3904.19</v>
      </c>
      <c r="E32" s="276">
        <f t="shared" si="3"/>
        <v>100</v>
      </c>
      <c r="F32" s="276"/>
      <c r="G32" s="275">
        <f t="shared" si="4"/>
        <v>0</v>
      </c>
      <c r="H32" s="386" t="s">
        <v>958</v>
      </c>
      <c r="I32" s="289"/>
    </row>
    <row r="33" spans="1:9" s="8" customFormat="1" ht="31.5" x14ac:dyDescent="0.25">
      <c r="A33" s="272"/>
      <c r="B33" s="290" t="s">
        <v>875</v>
      </c>
      <c r="C33" s="274">
        <v>261.45999999999998</v>
      </c>
      <c r="D33" s="276">
        <v>261.45999999999998</v>
      </c>
      <c r="E33" s="276">
        <f t="shared" si="3"/>
        <v>100</v>
      </c>
      <c r="F33" s="276"/>
      <c r="G33" s="275">
        <f t="shared" si="4"/>
        <v>0</v>
      </c>
      <c r="H33" s="306" t="s">
        <v>959</v>
      </c>
      <c r="I33" s="289"/>
    </row>
    <row r="34" spans="1:9" s="8" customFormat="1" x14ac:dyDescent="0.25">
      <c r="A34" s="272"/>
      <c r="B34" s="290" t="s">
        <v>657</v>
      </c>
      <c r="C34" s="274">
        <v>130.87</v>
      </c>
      <c r="D34" s="276">
        <v>130.87</v>
      </c>
      <c r="E34" s="276">
        <f t="shared" si="3"/>
        <v>100</v>
      </c>
      <c r="F34" s="276"/>
      <c r="G34" s="275">
        <f t="shared" si="4"/>
        <v>0</v>
      </c>
      <c r="H34" s="401" t="s">
        <v>960</v>
      </c>
      <c r="I34" s="289"/>
    </row>
    <row r="35" spans="1:9" s="8" customFormat="1" ht="47.25" x14ac:dyDescent="0.25">
      <c r="A35" s="272"/>
      <c r="B35" s="290" t="s">
        <v>876</v>
      </c>
      <c r="C35" s="274">
        <v>300</v>
      </c>
      <c r="D35" s="276">
        <v>300</v>
      </c>
      <c r="E35" s="276">
        <f t="shared" si="3"/>
        <v>100</v>
      </c>
      <c r="F35" s="276"/>
      <c r="G35" s="275">
        <f t="shared" si="4"/>
        <v>0</v>
      </c>
      <c r="H35" s="335" t="s">
        <v>961</v>
      </c>
      <c r="I35" s="289"/>
    </row>
    <row r="36" spans="1:9" s="8" customFormat="1" ht="31.5" x14ac:dyDescent="0.25">
      <c r="A36" s="272"/>
      <c r="B36" s="284" t="s">
        <v>415</v>
      </c>
      <c r="C36" s="285">
        <f>SUM(C37:C38)</f>
        <v>6396.9699999999993</v>
      </c>
      <c r="D36" s="285">
        <f>SUM(D37:D38)</f>
        <v>6396.9699999999993</v>
      </c>
      <c r="E36" s="286">
        <f t="shared" ref="E36:E41" si="5">SUM(D36/C36*100)</f>
        <v>100</v>
      </c>
      <c r="F36" s="286"/>
      <c r="G36" s="285">
        <f>SUM(G37:G38)</f>
        <v>0</v>
      </c>
      <c r="H36" s="288"/>
      <c r="I36" s="289"/>
    </row>
    <row r="37" spans="1:9" s="8" customFormat="1" ht="31.5" x14ac:dyDescent="0.25">
      <c r="A37" s="272"/>
      <c r="B37" s="17" t="s">
        <v>962</v>
      </c>
      <c r="C37" s="274">
        <v>394.69</v>
      </c>
      <c r="D37" s="276">
        <v>394.69</v>
      </c>
      <c r="E37" s="276">
        <f t="shared" si="5"/>
        <v>100</v>
      </c>
      <c r="F37" s="276"/>
      <c r="G37" s="275">
        <f t="shared" ref="G37:G43" si="6">SUM(C37-D37)</f>
        <v>0</v>
      </c>
      <c r="H37" s="306" t="s">
        <v>963</v>
      </c>
      <c r="I37" s="289"/>
    </row>
    <row r="38" spans="1:9" s="8" customFormat="1" ht="47.25" x14ac:dyDescent="0.25">
      <c r="A38" s="272"/>
      <c r="B38" s="17" t="s">
        <v>877</v>
      </c>
      <c r="C38" s="274">
        <v>6002.28</v>
      </c>
      <c r="D38" s="276">
        <v>6002.28</v>
      </c>
      <c r="E38" s="276">
        <f t="shared" si="5"/>
        <v>100</v>
      </c>
      <c r="F38" s="276"/>
      <c r="G38" s="275">
        <f t="shared" si="6"/>
        <v>0</v>
      </c>
      <c r="H38" s="142" t="s">
        <v>964</v>
      </c>
      <c r="I38" s="289"/>
    </row>
    <row r="39" spans="1:9" s="8" customFormat="1" ht="31.5" x14ac:dyDescent="0.25">
      <c r="A39" s="272"/>
      <c r="B39" s="292" t="s">
        <v>416</v>
      </c>
      <c r="C39" s="285">
        <f>SUM(C40:C41)</f>
        <v>7263.67</v>
      </c>
      <c r="D39" s="285">
        <f>SUM(D40:D41)</f>
        <v>4931.95</v>
      </c>
      <c r="E39" s="286">
        <f t="shared" si="5"/>
        <v>67.898872057788964</v>
      </c>
      <c r="F39" s="286"/>
      <c r="G39" s="287">
        <f t="shared" si="6"/>
        <v>2331.7200000000003</v>
      </c>
      <c r="H39" s="288"/>
      <c r="I39" s="289"/>
    </row>
    <row r="40" spans="1:9" s="8" customFormat="1" ht="47.25" x14ac:dyDescent="0.25">
      <c r="A40" s="272"/>
      <c r="B40" s="293" t="s">
        <v>878</v>
      </c>
      <c r="C40" s="274">
        <v>2331.7199999999998</v>
      </c>
      <c r="D40" s="274">
        <v>0</v>
      </c>
      <c r="E40" s="276">
        <v>0</v>
      </c>
      <c r="F40" s="276"/>
      <c r="G40" s="275">
        <f t="shared" si="6"/>
        <v>2331.7199999999998</v>
      </c>
      <c r="H40" s="65" t="s">
        <v>880</v>
      </c>
      <c r="I40" s="289"/>
    </row>
    <row r="41" spans="1:9" s="8" customFormat="1" ht="33" customHeight="1" x14ac:dyDescent="0.25">
      <c r="A41" s="272"/>
      <c r="B41" s="157" t="s">
        <v>879</v>
      </c>
      <c r="C41" s="274">
        <v>4931.95</v>
      </c>
      <c r="D41" s="274">
        <v>4931.95</v>
      </c>
      <c r="E41" s="276">
        <f t="shared" si="5"/>
        <v>100</v>
      </c>
      <c r="F41" s="276"/>
      <c r="G41" s="275">
        <f t="shared" si="6"/>
        <v>0</v>
      </c>
      <c r="H41" s="335" t="s">
        <v>966</v>
      </c>
      <c r="I41" s="289"/>
    </row>
    <row r="42" spans="1:9" s="283" customFormat="1" ht="31.5" x14ac:dyDescent="0.25">
      <c r="A42" s="551">
        <v>3</v>
      </c>
      <c r="B42" s="80" t="str">
        <f>свод!B53</f>
        <v>Муниципальная программа  «Старшее поколение Горного улуса на 2020-2024 годы»</v>
      </c>
      <c r="C42" s="135">
        <f>SUM(C43+C50)</f>
        <v>1440</v>
      </c>
      <c r="D42" s="135">
        <f>SUM(D43+D50)</f>
        <v>1424.4753599999999</v>
      </c>
      <c r="E42" s="269">
        <f>SUM(D42/C42*100)</f>
        <v>98.921899999999994</v>
      </c>
      <c r="F42" s="270">
        <f>D42/(C42/4*3)*100</f>
        <v>131.89586666666665</v>
      </c>
      <c r="G42" s="269">
        <f t="shared" si="6"/>
        <v>15.52464000000009</v>
      </c>
      <c r="H42" s="271"/>
      <c r="I42" s="295" t="s">
        <v>636</v>
      </c>
    </row>
    <row r="43" spans="1:9" s="8" customFormat="1" ht="31.5" x14ac:dyDescent="0.25">
      <c r="A43" s="272"/>
      <c r="B43" s="296" t="s">
        <v>434</v>
      </c>
      <c r="C43" s="297">
        <f>C44+C47</f>
        <v>1030</v>
      </c>
      <c r="D43" s="297">
        <f>D44+D47</f>
        <v>1014.4753599999999</v>
      </c>
      <c r="E43" s="286">
        <f>SUM(D43/C43)*100</f>
        <v>98.492753398058241</v>
      </c>
      <c r="F43" s="286"/>
      <c r="G43" s="287">
        <f t="shared" si="6"/>
        <v>15.52464000000009</v>
      </c>
      <c r="H43" s="288"/>
      <c r="I43" s="289"/>
    </row>
    <row r="44" spans="1:9" s="305" customFormat="1" x14ac:dyDescent="0.25">
      <c r="A44" s="298"/>
      <c r="B44" s="299" t="s">
        <v>751</v>
      </c>
      <c r="C44" s="300">
        <f>SUM(C45:C46)</f>
        <v>391.8</v>
      </c>
      <c r="D44" s="300">
        <f>SUM(D45:D46)</f>
        <v>391.46695999999997</v>
      </c>
      <c r="E44" s="301"/>
      <c r="F44" s="301"/>
      <c r="G44" s="302"/>
      <c r="H44" s="303"/>
      <c r="I44" s="304"/>
    </row>
    <row r="45" spans="1:9" s="8" customFormat="1" ht="31.5" x14ac:dyDescent="0.25">
      <c r="A45" s="272"/>
      <c r="B45" s="306" t="s">
        <v>637</v>
      </c>
      <c r="C45" s="307">
        <f>свод!L56</f>
        <v>24</v>
      </c>
      <c r="D45" s="307">
        <f>свод!R56</f>
        <v>24</v>
      </c>
      <c r="E45" s="276">
        <f t="shared" ref="E45:E54" si="7">SUM(D45/C45*100)</f>
        <v>100</v>
      </c>
      <c r="F45" s="276"/>
      <c r="G45" s="275">
        <f t="shared" ref="G45:G54" si="8">SUM(C45-D45)</f>
        <v>0</v>
      </c>
      <c r="H45" s="277"/>
      <c r="I45" s="289"/>
    </row>
    <row r="46" spans="1:9" s="8" customFormat="1" x14ac:dyDescent="0.25">
      <c r="A46" s="272"/>
      <c r="B46" s="306" t="s">
        <v>438</v>
      </c>
      <c r="C46" s="307">
        <f>свод!L57</f>
        <v>367.8</v>
      </c>
      <c r="D46" s="307">
        <f>свод!R57</f>
        <v>367.46695999999997</v>
      </c>
      <c r="E46" s="276">
        <f t="shared" si="7"/>
        <v>99.909450788471986</v>
      </c>
      <c r="F46" s="276"/>
      <c r="G46" s="275">
        <f t="shared" si="8"/>
        <v>0.33304000000003953</v>
      </c>
      <c r="H46" s="277"/>
      <c r="I46" s="289"/>
    </row>
    <row r="47" spans="1:9" s="305" customFormat="1" ht="31.5" x14ac:dyDescent="0.25">
      <c r="A47" s="298"/>
      <c r="B47" s="308" t="s">
        <v>755</v>
      </c>
      <c r="C47" s="309">
        <f>SUM(C48:C49)</f>
        <v>638.20000000000005</v>
      </c>
      <c r="D47" s="309">
        <f>SUM(D48:D49)</f>
        <v>623.00839999999994</v>
      </c>
      <c r="E47" s="276">
        <f t="shared" si="7"/>
        <v>97.619617674710099</v>
      </c>
      <c r="F47" s="310"/>
      <c r="G47" s="275">
        <f t="shared" si="8"/>
        <v>15.191600000000108</v>
      </c>
      <c r="H47" s="311"/>
      <c r="I47" s="304"/>
    </row>
    <row r="48" spans="1:9" s="8" customFormat="1" x14ac:dyDescent="0.25">
      <c r="A48" s="272"/>
      <c r="B48" s="312" t="s">
        <v>435</v>
      </c>
      <c r="C48" s="133">
        <f>свод!L59</f>
        <v>500</v>
      </c>
      <c r="D48" s="133">
        <f>свод!R59</f>
        <v>500</v>
      </c>
      <c r="E48" s="276">
        <f t="shared" si="7"/>
        <v>100</v>
      </c>
      <c r="F48" s="276"/>
      <c r="G48" s="275">
        <f t="shared" si="8"/>
        <v>0</v>
      </c>
      <c r="H48" s="277"/>
      <c r="I48" s="289"/>
    </row>
    <row r="49" spans="1:9" s="8" customFormat="1" ht="50.25" customHeight="1" x14ac:dyDescent="0.25">
      <c r="A49" s="272"/>
      <c r="B49" s="306" t="s">
        <v>437</v>
      </c>
      <c r="C49" s="133">
        <f>свод!L60</f>
        <v>138.19999999999999</v>
      </c>
      <c r="D49" s="133">
        <f>свод!R60</f>
        <v>123.00839999999999</v>
      </c>
      <c r="E49" s="276">
        <f t="shared" si="7"/>
        <v>89.007525325615049</v>
      </c>
      <c r="F49" s="276"/>
      <c r="G49" s="275">
        <f t="shared" si="8"/>
        <v>15.191599999999994</v>
      </c>
      <c r="H49" s="277" t="s">
        <v>1003</v>
      </c>
      <c r="I49" s="289"/>
    </row>
    <row r="50" spans="1:9" s="8" customFormat="1" x14ac:dyDescent="0.25">
      <c r="A50" s="272"/>
      <c r="B50" s="313" t="s">
        <v>439</v>
      </c>
      <c r="C50" s="314">
        <f>SUM(C51:C53)</f>
        <v>410</v>
      </c>
      <c r="D50" s="314">
        <f>SUM(D51:D53)</f>
        <v>410</v>
      </c>
      <c r="E50" s="286">
        <f t="shared" si="7"/>
        <v>100</v>
      </c>
      <c r="F50" s="286"/>
      <c r="G50" s="287">
        <f t="shared" si="8"/>
        <v>0</v>
      </c>
      <c r="H50" s="277"/>
      <c r="I50" s="289"/>
    </row>
    <row r="51" spans="1:9" s="8" customFormat="1" x14ac:dyDescent="0.25">
      <c r="A51" s="272"/>
      <c r="B51" s="306" t="s">
        <v>440</v>
      </c>
      <c r="C51" s="133">
        <f>свод!L62</f>
        <v>60</v>
      </c>
      <c r="D51" s="133">
        <f>свод!R62</f>
        <v>60</v>
      </c>
      <c r="E51" s="276">
        <f t="shared" si="7"/>
        <v>100</v>
      </c>
      <c r="F51" s="276"/>
      <c r="G51" s="275">
        <f t="shared" si="8"/>
        <v>0</v>
      </c>
      <c r="H51" s="277"/>
      <c r="I51" s="289"/>
    </row>
    <row r="52" spans="1:9" s="8" customFormat="1" ht="31.5" x14ac:dyDescent="0.25">
      <c r="A52" s="272"/>
      <c r="B52" s="306" t="s">
        <v>441</v>
      </c>
      <c r="C52" s="133">
        <f>свод!L63</f>
        <v>300</v>
      </c>
      <c r="D52" s="133">
        <f>свод!R63</f>
        <v>300</v>
      </c>
      <c r="E52" s="276">
        <f t="shared" si="7"/>
        <v>100</v>
      </c>
      <c r="F52" s="276"/>
      <c r="G52" s="275">
        <f t="shared" si="8"/>
        <v>0</v>
      </c>
      <c r="H52" s="277"/>
      <c r="I52" s="289"/>
    </row>
    <row r="53" spans="1:9" s="8" customFormat="1" ht="31.5" x14ac:dyDescent="0.25">
      <c r="A53" s="272"/>
      <c r="B53" s="306" t="s">
        <v>442</v>
      </c>
      <c r="C53" s="133">
        <f>свод!L64</f>
        <v>50</v>
      </c>
      <c r="D53" s="133">
        <f>свод!R64</f>
        <v>50</v>
      </c>
      <c r="E53" s="276">
        <f t="shared" si="7"/>
        <v>100</v>
      </c>
      <c r="F53" s="276"/>
      <c r="G53" s="275">
        <f t="shared" si="8"/>
        <v>0</v>
      </c>
      <c r="H53" s="277"/>
      <c r="I53" s="289"/>
    </row>
    <row r="54" spans="1:9" s="283" customFormat="1" ht="31.5" x14ac:dyDescent="0.25">
      <c r="A54" s="551">
        <v>4</v>
      </c>
      <c r="B54" s="80" t="str">
        <f>свод!B38</f>
        <v>Муниципальная программа  «Семейная политика в Горном улусе на 2020-2024 годы»</v>
      </c>
      <c r="C54" s="135">
        <f>SUM(C55+C58+C63+C65)</f>
        <v>843.52</v>
      </c>
      <c r="D54" s="135">
        <f>SUM(D55+D58+D63+D65)</f>
        <v>813.52</v>
      </c>
      <c r="E54" s="269">
        <f t="shared" si="7"/>
        <v>96.443474962063732</v>
      </c>
      <c r="F54" s="270">
        <f>D54/(C54/4*4)*100</f>
        <v>96.443474962063732</v>
      </c>
      <c r="G54" s="269">
        <f t="shared" si="8"/>
        <v>30</v>
      </c>
      <c r="H54" s="271"/>
      <c r="I54" s="295" t="s">
        <v>638</v>
      </c>
    </row>
    <row r="55" spans="1:9" s="8" customFormat="1" x14ac:dyDescent="0.25">
      <c r="A55" s="272"/>
      <c r="B55" s="57" t="s">
        <v>296</v>
      </c>
      <c r="C55" s="134">
        <f>SUM(C56:C57)</f>
        <v>465.02</v>
      </c>
      <c r="D55" s="134">
        <f>SUM(D56:D57)</f>
        <v>465.02</v>
      </c>
      <c r="E55" s="286">
        <f t="shared" ref="E55:E94" si="9">SUM(D55/C55*100)</f>
        <v>100</v>
      </c>
      <c r="F55" s="286"/>
      <c r="G55" s="287">
        <f t="shared" ref="G55:G113" si="10">SUM(C55-D55)</f>
        <v>0</v>
      </c>
      <c r="H55" s="288"/>
      <c r="I55" s="289"/>
    </row>
    <row r="56" spans="1:9" s="8" customFormat="1" x14ac:dyDescent="0.25">
      <c r="A56" s="272"/>
      <c r="B56" s="312" t="s">
        <v>425</v>
      </c>
      <c r="C56" s="315">
        <f>свод!L41</f>
        <v>315.02</v>
      </c>
      <c r="D56" s="133">
        <f>свод!R41</f>
        <v>315.02</v>
      </c>
      <c r="E56" s="276">
        <f t="shared" si="9"/>
        <v>100</v>
      </c>
      <c r="F56" s="276"/>
      <c r="G56" s="275">
        <f t="shared" si="10"/>
        <v>0</v>
      </c>
      <c r="H56" s="277"/>
      <c r="I56" s="289"/>
    </row>
    <row r="57" spans="1:9" s="8" customFormat="1" ht="31.5" x14ac:dyDescent="0.25">
      <c r="A57" s="272"/>
      <c r="B57" s="306" t="s">
        <v>808</v>
      </c>
      <c r="C57" s="315">
        <f>свод!L42</f>
        <v>150</v>
      </c>
      <c r="D57" s="133">
        <f>свод!R42</f>
        <v>150</v>
      </c>
      <c r="E57" s="276">
        <f t="shared" si="9"/>
        <v>100</v>
      </c>
      <c r="F57" s="276"/>
      <c r="G57" s="275">
        <f t="shared" si="10"/>
        <v>0</v>
      </c>
      <c r="H57" s="277"/>
      <c r="I57" s="289"/>
    </row>
    <row r="58" spans="1:9" s="8" customFormat="1" x14ac:dyDescent="0.25">
      <c r="A58" s="272"/>
      <c r="B58" s="316" t="s">
        <v>426</v>
      </c>
      <c r="C58" s="134">
        <f>SUM(C59:C62)</f>
        <v>315.5</v>
      </c>
      <c r="D58" s="134">
        <f>SUM(D59:D62)</f>
        <v>285.5</v>
      </c>
      <c r="E58" s="286">
        <f t="shared" si="9"/>
        <v>90.491283676703645</v>
      </c>
      <c r="F58" s="286"/>
      <c r="G58" s="287">
        <f t="shared" si="10"/>
        <v>30</v>
      </c>
      <c r="H58" s="277"/>
      <c r="I58" s="289"/>
    </row>
    <row r="59" spans="1:9" s="8" customFormat="1" ht="47.25" x14ac:dyDescent="0.25">
      <c r="A59" s="272"/>
      <c r="B59" s="312" t="s">
        <v>427</v>
      </c>
      <c r="C59" s="133">
        <f>свод!L44</f>
        <v>133.5</v>
      </c>
      <c r="D59" s="133">
        <f>свод!R44</f>
        <v>133.5</v>
      </c>
      <c r="E59" s="276">
        <f t="shared" si="9"/>
        <v>100</v>
      </c>
      <c r="F59" s="276"/>
      <c r="G59" s="275">
        <f t="shared" si="10"/>
        <v>0</v>
      </c>
      <c r="H59" s="277"/>
      <c r="I59" s="289"/>
    </row>
    <row r="60" spans="1:9" s="8" customFormat="1" ht="47.25" x14ac:dyDescent="0.25">
      <c r="A60" s="272"/>
      <c r="B60" s="312" t="s">
        <v>428</v>
      </c>
      <c r="C60" s="133">
        <f>свод!L45</f>
        <v>145</v>
      </c>
      <c r="D60" s="133">
        <f>свод!R45</f>
        <v>115</v>
      </c>
      <c r="E60" s="276">
        <f t="shared" si="9"/>
        <v>79.310344827586206</v>
      </c>
      <c r="F60" s="276"/>
      <c r="G60" s="275">
        <f t="shared" si="10"/>
        <v>30</v>
      </c>
      <c r="H60" s="277" t="s">
        <v>994</v>
      </c>
      <c r="I60" s="289"/>
    </row>
    <row r="61" spans="1:9" s="8" customFormat="1" ht="31.5" x14ac:dyDescent="0.25">
      <c r="A61" s="272"/>
      <c r="B61" s="58" t="s">
        <v>429</v>
      </c>
      <c r="C61" s="133">
        <f>свод!L46</f>
        <v>10</v>
      </c>
      <c r="D61" s="133">
        <f>свод!R46</f>
        <v>10</v>
      </c>
      <c r="E61" s="276">
        <f t="shared" si="9"/>
        <v>100</v>
      </c>
      <c r="F61" s="276"/>
      <c r="G61" s="275">
        <f t="shared" si="10"/>
        <v>0</v>
      </c>
      <c r="H61" s="277"/>
      <c r="I61" s="289"/>
    </row>
    <row r="62" spans="1:9" s="8" customFormat="1" ht="47.25" x14ac:dyDescent="0.25">
      <c r="A62" s="272"/>
      <c r="B62" s="312" t="s">
        <v>433</v>
      </c>
      <c r="C62" s="133">
        <f>свод!L47</f>
        <v>27</v>
      </c>
      <c r="D62" s="133">
        <f>свод!R47</f>
        <v>27</v>
      </c>
      <c r="E62" s="276">
        <f t="shared" si="9"/>
        <v>100</v>
      </c>
      <c r="F62" s="276"/>
      <c r="G62" s="275">
        <f t="shared" si="10"/>
        <v>0</v>
      </c>
      <c r="H62" s="277"/>
      <c r="I62" s="289"/>
    </row>
    <row r="63" spans="1:9" s="8" customFormat="1" x14ac:dyDescent="0.25">
      <c r="A63" s="272"/>
      <c r="B63" s="57" t="s">
        <v>430</v>
      </c>
      <c r="C63" s="134">
        <f>SUM(C64:C64)</f>
        <v>48</v>
      </c>
      <c r="D63" s="134">
        <f>SUM(D64:D64)</f>
        <v>48</v>
      </c>
      <c r="E63" s="286">
        <f t="shared" si="9"/>
        <v>100</v>
      </c>
      <c r="F63" s="286"/>
      <c r="G63" s="287">
        <f t="shared" si="10"/>
        <v>0</v>
      </c>
      <c r="H63" s="277"/>
      <c r="I63" s="289"/>
    </row>
    <row r="64" spans="1:9" s="8" customFormat="1" ht="31.5" x14ac:dyDescent="0.25">
      <c r="A64" s="272"/>
      <c r="B64" s="312" t="s">
        <v>431</v>
      </c>
      <c r="C64" s="133">
        <f>свод!L49</f>
        <v>48</v>
      </c>
      <c r="D64" s="133">
        <f>свод!R49</f>
        <v>48</v>
      </c>
      <c r="E64" s="276">
        <f t="shared" si="9"/>
        <v>100</v>
      </c>
      <c r="F64" s="276"/>
      <c r="G64" s="275">
        <f t="shared" si="10"/>
        <v>0</v>
      </c>
      <c r="H64" s="277"/>
      <c r="I64" s="289"/>
    </row>
    <row r="65" spans="1:9" s="8" customFormat="1" x14ac:dyDescent="0.25">
      <c r="A65" s="272"/>
      <c r="B65" s="316" t="s">
        <v>303</v>
      </c>
      <c r="C65" s="134">
        <f>SUM(C66:C67)</f>
        <v>15</v>
      </c>
      <c r="D65" s="134">
        <f>SUM(D66:D67)</f>
        <v>15</v>
      </c>
      <c r="E65" s="286">
        <f t="shared" si="9"/>
        <v>100</v>
      </c>
      <c r="F65" s="286"/>
      <c r="G65" s="287">
        <f t="shared" si="10"/>
        <v>0</v>
      </c>
      <c r="H65" s="277"/>
      <c r="I65" s="289"/>
    </row>
    <row r="66" spans="1:9" s="8" customFormat="1" x14ac:dyDescent="0.25">
      <c r="A66" s="272"/>
      <c r="B66" s="58" t="s">
        <v>432</v>
      </c>
      <c r="C66" s="133">
        <f>свод!L51</f>
        <v>0</v>
      </c>
      <c r="D66" s="133">
        <f>свод!R51</f>
        <v>0</v>
      </c>
      <c r="E66" s="276">
        <v>0</v>
      </c>
      <c r="F66" s="276"/>
      <c r="G66" s="275">
        <f t="shared" si="10"/>
        <v>0</v>
      </c>
      <c r="H66" s="277"/>
      <c r="I66" s="289"/>
    </row>
    <row r="67" spans="1:9" s="8" customFormat="1" ht="31.5" x14ac:dyDescent="0.25">
      <c r="A67" s="272"/>
      <c r="B67" s="312" t="s">
        <v>809</v>
      </c>
      <c r="C67" s="133">
        <f>свод!L52</f>
        <v>15</v>
      </c>
      <c r="D67" s="133">
        <f>свод!R52</f>
        <v>15</v>
      </c>
      <c r="E67" s="276">
        <f t="shared" si="9"/>
        <v>100</v>
      </c>
      <c r="F67" s="276"/>
      <c r="G67" s="275">
        <f t="shared" si="10"/>
        <v>0</v>
      </c>
      <c r="H67" s="277"/>
      <c r="I67" s="289"/>
    </row>
    <row r="68" spans="1:9" s="283" customFormat="1" ht="78.75" x14ac:dyDescent="0.25">
      <c r="A68" s="551">
        <v>5</v>
      </c>
      <c r="B68" s="317" t="str">
        <f>свод!B65</f>
        <v>Муниципальная программа «Содействие развитию институтов гражданского общества, поддержка социально ориентированных некоммерческих организаций и территориальных общественных самоуправлений в Горном улусе на 2021-2025 годы»</v>
      </c>
      <c r="C68" s="135">
        <f>SUM(C69+C70+C76)</f>
        <v>1918.3200000000002</v>
      </c>
      <c r="D68" s="135">
        <f>SUM(D69+D70+D76)</f>
        <v>1894.69229</v>
      </c>
      <c r="E68" s="269">
        <f t="shared" si="9"/>
        <v>98.768312377496969</v>
      </c>
      <c r="F68" s="270">
        <f>D68/(C68/4*4)*100</f>
        <v>98.768312377496969</v>
      </c>
      <c r="G68" s="269">
        <f t="shared" si="10"/>
        <v>23.627710000000206</v>
      </c>
      <c r="H68" s="271"/>
      <c r="I68" s="295" t="s">
        <v>639</v>
      </c>
    </row>
    <row r="69" spans="1:9" s="8" customFormat="1" x14ac:dyDescent="0.25">
      <c r="A69" s="272"/>
      <c r="B69" s="318" t="s">
        <v>443</v>
      </c>
      <c r="C69" s="134">
        <f>свод!L66</f>
        <v>705.32</v>
      </c>
      <c r="D69" s="134">
        <f>свод!R66</f>
        <v>699.23248999999998</v>
      </c>
      <c r="E69" s="286">
        <f t="shared" si="9"/>
        <v>99.136915159076722</v>
      </c>
      <c r="F69" s="286"/>
      <c r="G69" s="287">
        <f t="shared" si="10"/>
        <v>6.0875100000000657</v>
      </c>
      <c r="H69" s="277"/>
      <c r="I69" s="289"/>
    </row>
    <row r="70" spans="1:9" s="8" customFormat="1" ht="47.25" x14ac:dyDescent="0.25">
      <c r="A70" s="272"/>
      <c r="B70" s="319" t="s">
        <v>762</v>
      </c>
      <c r="C70" s="134">
        <f>свод!L67</f>
        <v>513</v>
      </c>
      <c r="D70" s="134">
        <f>свод!R67</f>
        <v>500.67580000000004</v>
      </c>
      <c r="E70" s="286">
        <f t="shared" si="9"/>
        <v>97.597621832358683</v>
      </c>
      <c r="F70" s="286"/>
      <c r="G70" s="287">
        <f t="shared" si="10"/>
        <v>12.324199999999962</v>
      </c>
      <c r="H70" s="288"/>
      <c r="I70" s="289"/>
    </row>
    <row r="71" spans="1:9" s="8" customFormat="1" ht="33" customHeight="1" x14ac:dyDescent="0.25">
      <c r="A71" s="272"/>
      <c r="B71" s="277" t="s">
        <v>444</v>
      </c>
      <c r="C71" s="133">
        <f>свод!L68</f>
        <v>0</v>
      </c>
      <c r="D71" s="133">
        <f>свод!R68</f>
        <v>0</v>
      </c>
      <c r="E71" s="276">
        <v>0</v>
      </c>
      <c r="F71" s="276"/>
      <c r="G71" s="275">
        <f t="shared" si="10"/>
        <v>0</v>
      </c>
      <c r="H71" s="324" t="s">
        <v>1006</v>
      </c>
      <c r="I71" s="289"/>
    </row>
    <row r="72" spans="1:9" s="8" customFormat="1" ht="31.5" x14ac:dyDescent="0.25">
      <c r="A72" s="272"/>
      <c r="B72" s="277" t="s">
        <v>763</v>
      </c>
      <c r="C72" s="133">
        <f>свод!L69</f>
        <v>280</v>
      </c>
      <c r="D72" s="133">
        <f>свод!R69</f>
        <v>267.82580000000002</v>
      </c>
      <c r="E72" s="276">
        <v>0</v>
      </c>
      <c r="F72" s="276"/>
      <c r="G72" s="275">
        <f t="shared" si="10"/>
        <v>12.174199999999985</v>
      </c>
      <c r="H72" s="586" t="s">
        <v>1004</v>
      </c>
      <c r="I72" s="289"/>
    </row>
    <row r="73" spans="1:9" s="8" customFormat="1" x14ac:dyDescent="0.25">
      <c r="A73" s="272"/>
      <c r="B73" s="289" t="s">
        <v>445</v>
      </c>
      <c r="C73" s="133">
        <f>свод!L70</f>
        <v>42.65</v>
      </c>
      <c r="D73" s="133">
        <f>свод!R70</f>
        <v>42.5</v>
      </c>
      <c r="E73" s="276">
        <f t="shared" si="9"/>
        <v>99.648300117233305</v>
      </c>
      <c r="F73" s="276"/>
      <c r="G73" s="275">
        <f t="shared" si="10"/>
        <v>0.14999999999999858</v>
      </c>
      <c r="H73" s="277"/>
      <c r="I73" s="289"/>
    </row>
    <row r="74" spans="1:9" s="8" customFormat="1" x14ac:dyDescent="0.25">
      <c r="A74" s="272"/>
      <c r="B74" s="7" t="s">
        <v>446</v>
      </c>
      <c r="C74" s="133">
        <f>свод!L71</f>
        <v>35.35</v>
      </c>
      <c r="D74" s="133">
        <f>свод!R71</f>
        <v>35.35</v>
      </c>
      <c r="E74" s="276">
        <f t="shared" si="9"/>
        <v>100</v>
      </c>
      <c r="F74" s="276"/>
      <c r="G74" s="275">
        <f t="shared" si="10"/>
        <v>0</v>
      </c>
      <c r="H74" s="277"/>
      <c r="I74" s="289"/>
    </row>
    <row r="75" spans="1:9" s="8" customFormat="1" x14ac:dyDescent="0.25">
      <c r="A75" s="272"/>
      <c r="B75" s="7" t="s">
        <v>447</v>
      </c>
      <c r="C75" s="133">
        <f>свод!L72</f>
        <v>155</v>
      </c>
      <c r="D75" s="133">
        <f>свод!R72</f>
        <v>155</v>
      </c>
      <c r="E75" s="276">
        <f t="shared" si="9"/>
        <v>100</v>
      </c>
      <c r="F75" s="286"/>
      <c r="G75" s="275">
        <f t="shared" si="10"/>
        <v>0</v>
      </c>
      <c r="H75" s="277"/>
      <c r="I75" s="289"/>
    </row>
    <row r="76" spans="1:9" s="8" customFormat="1" ht="31.5" x14ac:dyDescent="0.25">
      <c r="A76" s="272"/>
      <c r="B76" s="319" t="s">
        <v>764</v>
      </c>
      <c r="C76" s="134">
        <f>свод!L73</f>
        <v>700</v>
      </c>
      <c r="D76" s="134">
        <f>свод!R73</f>
        <v>694.78399999999999</v>
      </c>
      <c r="E76" s="276">
        <f t="shared" si="9"/>
        <v>99.254857142857148</v>
      </c>
      <c r="F76" s="276"/>
      <c r="G76" s="275">
        <f t="shared" si="10"/>
        <v>5.2160000000000082</v>
      </c>
      <c r="H76" s="288"/>
      <c r="I76" s="289"/>
    </row>
    <row r="77" spans="1:9" s="8" customFormat="1" ht="78.75" x14ac:dyDescent="0.25">
      <c r="A77" s="272"/>
      <c r="B77" s="7" t="s">
        <v>765</v>
      </c>
      <c r="C77" s="133">
        <f>свод!L74</f>
        <v>700</v>
      </c>
      <c r="D77" s="133">
        <f>свод!R74</f>
        <v>694.78399999999999</v>
      </c>
      <c r="E77" s="276">
        <f t="shared" si="9"/>
        <v>99.254857142857148</v>
      </c>
      <c r="F77" s="276"/>
      <c r="G77" s="275">
        <f t="shared" si="10"/>
        <v>5.2160000000000082</v>
      </c>
      <c r="H77" s="587" t="s">
        <v>1005</v>
      </c>
      <c r="I77" s="289"/>
    </row>
    <row r="78" spans="1:9" s="283" customFormat="1" ht="31.5" x14ac:dyDescent="0.25">
      <c r="A78" s="551">
        <v>6</v>
      </c>
      <c r="B78" s="80" t="str">
        <f>свод!B80</f>
        <v>Муниципальная программа «Профилактика правонарушений в Горном улусе на 2020-2024 годы»</v>
      </c>
      <c r="C78" s="135">
        <f>SUM(C79+C88)</f>
        <v>579.47</v>
      </c>
      <c r="D78" s="135">
        <f>SUM(D79+D88)</f>
        <v>574.47</v>
      </c>
      <c r="E78" s="269">
        <f>SUM(D78/C78*100)</f>
        <v>99.137142561306021</v>
      </c>
      <c r="F78" s="270">
        <f>D78/(C78/4*3)*100</f>
        <v>132.18285674840803</v>
      </c>
      <c r="G78" s="269">
        <f t="shared" si="10"/>
        <v>5</v>
      </c>
      <c r="H78" s="271"/>
      <c r="I78" s="295" t="s">
        <v>881</v>
      </c>
    </row>
    <row r="79" spans="1:9" s="8" customFormat="1" ht="31.5" x14ac:dyDescent="0.25">
      <c r="A79" s="272"/>
      <c r="B79" s="330" t="s">
        <v>766</v>
      </c>
      <c r="C79" s="134">
        <f>свод!L81</f>
        <v>554.47</v>
      </c>
      <c r="D79" s="134">
        <f>свод!R81</f>
        <v>549.47</v>
      </c>
      <c r="E79" s="286">
        <f t="shared" si="9"/>
        <v>99.098237956967921</v>
      </c>
      <c r="F79" s="286"/>
      <c r="G79" s="287">
        <f t="shared" si="10"/>
        <v>5</v>
      </c>
      <c r="H79" s="288"/>
      <c r="I79" s="289"/>
    </row>
    <row r="80" spans="1:9" s="305" customFormat="1" x14ac:dyDescent="0.25">
      <c r="A80" s="298"/>
      <c r="B80" s="320" t="s">
        <v>767</v>
      </c>
      <c r="C80" s="321">
        <f>свод!L82</f>
        <v>499.47</v>
      </c>
      <c r="D80" s="321">
        <f>свод!R82</f>
        <v>494.47</v>
      </c>
      <c r="E80" s="310">
        <f t="shared" si="9"/>
        <v>98.998938875207728</v>
      </c>
      <c r="F80" s="310"/>
      <c r="G80" s="322">
        <f t="shared" si="10"/>
        <v>5</v>
      </c>
      <c r="H80" s="323"/>
      <c r="I80" s="304"/>
    </row>
    <row r="81" spans="1:9" s="8" customFormat="1" ht="78.75" x14ac:dyDescent="0.25">
      <c r="A81" s="272"/>
      <c r="B81" s="268" t="s">
        <v>451</v>
      </c>
      <c r="C81" s="133">
        <f>свод!L83</f>
        <v>450</v>
      </c>
      <c r="D81" s="133">
        <f>свод!R83</f>
        <v>450</v>
      </c>
      <c r="E81" s="276">
        <f t="shared" si="9"/>
        <v>100</v>
      </c>
      <c r="F81" s="276"/>
      <c r="G81" s="275">
        <f t="shared" si="10"/>
        <v>0</v>
      </c>
      <c r="H81" s="324" t="s">
        <v>1011</v>
      </c>
      <c r="I81" s="289"/>
    </row>
    <row r="82" spans="1:9" s="8" customFormat="1" ht="46.5" customHeight="1" x14ac:dyDescent="0.25">
      <c r="A82" s="272"/>
      <c r="B82" s="268" t="s">
        <v>453</v>
      </c>
      <c r="C82" s="133">
        <f>свод!L84</f>
        <v>24.47</v>
      </c>
      <c r="D82" s="133">
        <f>свод!R84</f>
        <v>24.47</v>
      </c>
      <c r="E82" s="276">
        <f>SUM(D82/C82*100)</f>
        <v>100</v>
      </c>
      <c r="F82" s="276"/>
      <c r="G82" s="275">
        <f t="shared" si="10"/>
        <v>0</v>
      </c>
      <c r="H82" s="586" t="s">
        <v>1012</v>
      </c>
      <c r="I82" s="289"/>
    </row>
    <row r="83" spans="1:9" s="8" customFormat="1" ht="47.25" x14ac:dyDescent="0.25">
      <c r="A83" s="272"/>
      <c r="B83" s="268" t="s">
        <v>454</v>
      </c>
      <c r="C83" s="133">
        <f>свод!L85</f>
        <v>20</v>
      </c>
      <c r="D83" s="133">
        <f>свод!R85</f>
        <v>20</v>
      </c>
      <c r="E83" s="276">
        <f t="shared" si="9"/>
        <v>100</v>
      </c>
      <c r="F83" s="276"/>
      <c r="G83" s="275">
        <f t="shared" si="10"/>
        <v>0</v>
      </c>
      <c r="H83" s="586" t="s">
        <v>1013</v>
      </c>
      <c r="I83" s="289"/>
    </row>
    <row r="84" spans="1:9" s="8" customFormat="1" ht="31.5" x14ac:dyDescent="0.25">
      <c r="A84" s="272"/>
      <c r="B84" s="268" t="s">
        <v>771</v>
      </c>
      <c r="C84" s="133">
        <f>свод!L86</f>
        <v>5</v>
      </c>
      <c r="D84" s="133">
        <f>свод!R86</f>
        <v>0</v>
      </c>
      <c r="E84" s="276">
        <f t="shared" si="9"/>
        <v>0</v>
      </c>
      <c r="F84" s="276"/>
      <c r="G84" s="275">
        <f t="shared" si="10"/>
        <v>5</v>
      </c>
      <c r="H84" s="277"/>
      <c r="I84" s="289"/>
    </row>
    <row r="85" spans="1:9" s="305" customFormat="1" ht="31.5" x14ac:dyDescent="0.25">
      <c r="A85" s="298"/>
      <c r="B85" s="320" t="s">
        <v>777</v>
      </c>
      <c r="C85" s="321">
        <f>свод!L87</f>
        <v>55</v>
      </c>
      <c r="D85" s="321">
        <f>свод!R87</f>
        <v>55</v>
      </c>
      <c r="E85" s="310">
        <f t="shared" si="9"/>
        <v>100</v>
      </c>
      <c r="F85" s="310"/>
      <c r="G85" s="322">
        <f t="shared" si="10"/>
        <v>0</v>
      </c>
      <c r="H85" s="303"/>
      <c r="I85" s="304"/>
    </row>
    <row r="86" spans="1:9" s="8" customFormat="1" ht="47.25" x14ac:dyDescent="0.25">
      <c r="A86" s="272"/>
      <c r="B86" s="268" t="s">
        <v>455</v>
      </c>
      <c r="C86" s="133">
        <f>свод!L88</f>
        <v>55</v>
      </c>
      <c r="D86" s="133">
        <f>свод!R88</f>
        <v>55</v>
      </c>
      <c r="E86" s="276">
        <f t="shared" si="9"/>
        <v>100</v>
      </c>
      <c r="F86" s="276"/>
      <c r="G86" s="275">
        <f t="shared" si="10"/>
        <v>0</v>
      </c>
      <c r="H86" s="587" t="s">
        <v>1014</v>
      </c>
      <c r="I86" s="289"/>
    </row>
    <row r="87" spans="1:9" s="8" customFormat="1" ht="47.25" x14ac:dyDescent="0.25">
      <c r="A87" s="272"/>
      <c r="B87" s="268" t="s">
        <v>452</v>
      </c>
      <c r="C87" s="133">
        <f>свод!L89</f>
        <v>0</v>
      </c>
      <c r="D87" s="133">
        <f>свод!R89</f>
        <v>0</v>
      </c>
      <c r="E87" s="276"/>
      <c r="F87" s="276"/>
      <c r="G87" s="275">
        <f t="shared" si="10"/>
        <v>0</v>
      </c>
      <c r="H87" s="288"/>
      <c r="I87" s="289"/>
    </row>
    <row r="88" spans="1:9" s="328" customFormat="1" x14ac:dyDescent="0.25">
      <c r="A88" s="325"/>
      <c r="B88" s="326" t="s">
        <v>780</v>
      </c>
      <c r="C88" s="134">
        <f>свод!L90</f>
        <v>25</v>
      </c>
      <c r="D88" s="134">
        <f>свод!R90</f>
        <v>25</v>
      </c>
      <c r="E88" s="286">
        <f t="shared" si="9"/>
        <v>100</v>
      </c>
      <c r="F88" s="286"/>
      <c r="G88" s="287">
        <f t="shared" si="10"/>
        <v>0</v>
      </c>
      <c r="H88" s="327"/>
      <c r="I88" s="318"/>
    </row>
    <row r="89" spans="1:9" s="8" customFormat="1" ht="47.25" x14ac:dyDescent="0.25">
      <c r="A89" s="272"/>
      <c r="B89" s="268" t="s">
        <v>779</v>
      </c>
      <c r="C89" s="133">
        <f>свод!L91</f>
        <v>25</v>
      </c>
      <c r="D89" s="133">
        <f>свод!R91</f>
        <v>25</v>
      </c>
      <c r="E89" s="276">
        <f t="shared" si="9"/>
        <v>100</v>
      </c>
      <c r="F89" s="276"/>
      <c r="G89" s="275">
        <f t="shared" si="10"/>
        <v>0</v>
      </c>
      <c r="H89" s="587" t="s">
        <v>1015</v>
      </c>
      <c r="I89" s="289"/>
    </row>
    <row r="90" spans="1:9" s="283" customFormat="1" ht="47.25" x14ac:dyDescent="0.25">
      <c r="A90" s="551">
        <v>7</v>
      </c>
      <c r="B90" s="80" t="str">
        <f>свод!B75</f>
        <v>Муниципальная программа «Обеспечение безбарьерной среды жизнедеятельности инвалидов в Горном улусе на 2020 - 2024 годы»</v>
      </c>
      <c r="C90" s="135">
        <f>SUM(C91+C93)</f>
        <v>250</v>
      </c>
      <c r="D90" s="135">
        <f>SUM(D91+D93)</f>
        <v>250</v>
      </c>
      <c r="E90" s="269">
        <f t="shared" si="9"/>
        <v>100</v>
      </c>
      <c r="F90" s="270">
        <f>D90/(C90/4*3)*100</f>
        <v>133.33333333333331</v>
      </c>
      <c r="G90" s="269">
        <f t="shared" si="10"/>
        <v>0</v>
      </c>
      <c r="H90" s="271"/>
      <c r="I90" s="295" t="s">
        <v>885</v>
      </c>
    </row>
    <row r="91" spans="1:9" s="8" customFormat="1" ht="31.5" x14ac:dyDescent="0.25">
      <c r="A91" s="272"/>
      <c r="B91" s="57" t="s">
        <v>448</v>
      </c>
      <c r="C91" s="134">
        <f>свод!L76</f>
        <v>100</v>
      </c>
      <c r="D91" s="134">
        <f>свод!R76</f>
        <v>100</v>
      </c>
      <c r="E91" s="286">
        <f t="shared" si="9"/>
        <v>100</v>
      </c>
      <c r="F91" s="286"/>
      <c r="G91" s="287">
        <f t="shared" si="10"/>
        <v>0</v>
      </c>
      <c r="H91" s="277"/>
      <c r="I91" s="289"/>
    </row>
    <row r="92" spans="1:9" s="8" customFormat="1" ht="47.25" x14ac:dyDescent="0.25">
      <c r="A92" s="272"/>
      <c r="B92" s="306" t="s">
        <v>449</v>
      </c>
      <c r="C92" s="133">
        <f>свод!L77</f>
        <v>100</v>
      </c>
      <c r="D92" s="133">
        <f>свод!R77</f>
        <v>100</v>
      </c>
      <c r="E92" s="276">
        <f t="shared" si="9"/>
        <v>100</v>
      </c>
      <c r="F92" s="276"/>
      <c r="G92" s="275">
        <f t="shared" si="10"/>
        <v>0</v>
      </c>
      <c r="H92" s="288"/>
      <c r="I92" s="289"/>
    </row>
    <row r="93" spans="1:9" s="8" customFormat="1" x14ac:dyDescent="0.25">
      <c r="A93" s="272"/>
      <c r="B93" s="57" t="s">
        <v>450</v>
      </c>
      <c r="C93" s="134">
        <f>свод!L78</f>
        <v>150</v>
      </c>
      <c r="D93" s="134">
        <f>свод!R78</f>
        <v>150</v>
      </c>
      <c r="E93" s="286">
        <f t="shared" si="9"/>
        <v>100</v>
      </c>
      <c r="F93" s="286"/>
      <c r="G93" s="287">
        <f t="shared" si="10"/>
        <v>0</v>
      </c>
      <c r="H93" s="288"/>
      <c r="I93" s="289"/>
    </row>
    <row r="94" spans="1:9" s="8" customFormat="1" ht="47.25" x14ac:dyDescent="0.25">
      <c r="A94" s="272"/>
      <c r="B94" s="312" t="s">
        <v>449</v>
      </c>
      <c r="C94" s="133">
        <f>свод!L79</f>
        <v>150</v>
      </c>
      <c r="D94" s="133">
        <f>свод!R79</f>
        <v>150</v>
      </c>
      <c r="E94" s="276">
        <f t="shared" si="9"/>
        <v>100</v>
      </c>
      <c r="F94" s="276"/>
      <c r="G94" s="275">
        <f t="shared" si="10"/>
        <v>0</v>
      </c>
      <c r="H94" s="288"/>
      <c r="I94" s="289"/>
    </row>
    <row r="95" spans="1:9" s="283" customFormat="1" ht="31.5" x14ac:dyDescent="0.25">
      <c r="A95" s="551">
        <v>8</v>
      </c>
      <c r="B95" s="79" t="str">
        <f>свод!B138</f>
        <v>Муниципальная программа «Молодежная политика Горного улуса на 2020 - 2024 годы»</v>
      </c>
      <c r="C95" s="136">
        <f>C96+C107+C110</f>
        <v>1511.7710199999999</v>
      </c>
      <c r="D95" s="136">
        <f>D96+D107+D110</f>
        <v>1510.07</v>
      </c>
      <c r="E95" s="329">
        <f>SUM(D95/C95*100)</f>
        <v>99.88748163726541</v>
      </c>
      <c r="F95" s="270">
        <f>D95/(C95/4*3)*100</f>
        <v>133.18330884968722</v>
      </c>
      <c r="G95" s="269">
        <f t="shared" si="10"/>
        <v>1.7010199999999713</v>
      </c>
      <c r="H95" s="271"/>
      <c r="I95" s="295" t="s">
        <v>640</v>
      </c>
    </row>
    <row r="96" spans="1:9" s="8" customFormat="1" ht="31.5" x14ac:dyDescent="0.25">
      <c r="A96" s="272"/>
      <c r="B96" s="330" t="s">
        <v>790</v>
      </c>
      <c r="C96" s="509">
        <f>свод!L139</f>
        <v>106.4</v>
      </c>
      <c r="D96" s="509">
        <f>свод!R139</f>
        <v>105.6</v>
      </c>
      <c r="E96" s="510">
        <f>SUM(D96/C96*100)</f>
        <v>99.248120300751879</v>
      </c>
      <c r="F96" s="509"/>
      <c r="G96" s="509">
        <f t="shared" si="10"/>
        <v>0.80000000000001137</v>
      </c>
      <c r="H96" s="288"/>
      <c r="I96" s="289"/>
    </row>
    <row r="97" spans="1:9" s="8" customFormat="1" ht="31.5" hidden="1" x14ac:dyDescent="0.25">
      <c r="A97" s="272"/>
      <c r="B97" s="311" t="s">
        <v>483</v>
      </c>
      <c r="C97" s="511">
        <f>свод!L140</f>
        <v>0</v>
      </c>
      <c r="D97" s="511">
        <f>свод!R140</f>
        <v>0</v>
      </c>
      <c r="E97" s="512" t="e">
        <f>SUM(D97/C97*100)</f>
        <v>#DIV/0!</v>
      </c>
      <c r="F97" s="511"/>
      <c r="G97" s="511">
        <f t="shared" si="10"/>
        <v>0</v>
      </c>
      <c r="H97" s="288"/>
      <c r="I97" s="289"/>
    </row>
    <row r="98" spans="1:9" s="8" customFormat="1" ht="31.5" hidden="1" x14ac:dyDescent="0.25">
      <c r="A98" s="272"/>
      <c r="B98" s="331" t="s">
        <v>711</v>
      </c>
      <c r="C98" s="513">
        <f>свод!L141</f>
        <v>0</v>
      </c>
      <c r="D98" s="513">
        <f>свод!R141</f>
        <v>0</v>
      </c>
      <c r="E98" s="514" t="e">
        <f t="shared" ref="E98:E113" si="11">SUM(D98/C98*100)</f>
        <v>#DIV/0!</v>
      </c>
      <c r="F98" s="513"/>
      <c r="G98" s="513">
        <f t="shared" si="10"/>
        <v>0</v>
      </c>
      <c r="H98" s="288"/>
      <c r="I98" s="289"/>
    </row>
    <row r="99" spans="1:9" s="8" customFormat="1" ht="31.5" hidden="1" customHeight="1" x14ac:dyDescent="0.25">
      <c r="A99" s="272"/>
      <c r="B99" s="332" t="s">
        <v>484</v>
      </c>
      <c r="C99" s="513">
        <f>свод!L142</f>
        <v>0</v>
      </c>
      <c r="D99" s="513">
        <f>свод!R142</f>
        <v>0</v>
      </c>
      <c r="E99" s="514" t="e">
        <f t="shared" si="11"/>
        <v>#DIV/0!</v>
      </c>
      <c r="F99" s="513"/>
      <c r="G99" s="513">
        <f t="shared" si="10"/>
        <v>0</v>
      </c>
      <c r="H99" s="288"/>
      <c r="I99" s="289"/>
    </row>
    <row r="100" spans="1:9" s="8" customFormat="1" x14ac:dyDescent="0.25">
      <c r="A100" s="272"/>
      <c r="B100" s="311" t="s">
        <v>791</v>
      </c>
      <c r="C100" s="511">
        <f>свод!L143</f>
        <v>101.4</v>
      </c>
      <c r="D100" s="511">
        <f>свод!R143</f>
        <v>100.6</v>
      </c>
      <c r="E100" s="512">
        <f t="shared" si="11"/>
        <v>99.211045364891504</v>
      </c>
      <c r="F100" s="511"/>
      <c r="G100" s="511">
        <f t="shared" si="10"/>
        <v>0.80000000000001137</v>
      </c>
      <c r="H100" s="288"/>
      <c r="I100" s="289"/>
    </row>
    <row r="101" spans="1:9" s="8" customFormat="1" ht="31.5" x14ac:dyDescent="0.25">
      <c r="A101" s="272"/>
      <c r="B101" s="332" t="s">
        <v>485</v>
      </c>
      <c r="C101" s="513">
        <f>свод!L144</f>
        <v>76.400000000000006</v>
      </c>
      <c r="D101" s="513">
        <f>свод!R144</f>
        <v>75.599999999999994</v>
      </c>
      <c r="E101" s="514">
        <f t="shared" si="11"/>
        <v>98.952879581151819</v>
      </c>
      <c r="F101" s="513"/>
      <c r="G101" s="513">
        <f t="shared" si="10"/>
        <v>0.80000000000001137</v>
      </c>
      <c r="H101" s="587" t="s">
        <v>882</v>
      </c>
      <c r="I101" s="289"/>
    </row>
    <row r="102" spans="1:9" s="8" customFormat="1" ht="31.5" x14ac:dyDescent="0.25">
      <c r="A102" s="272"/>
      <c r="B102" s="332" t="s">
        <v>486</v>
      </c>
      <c r="C102" s="513">
        <f>свод!L145</f>
        <v>25</v>
      </c>
      <c r="D102" s="513">
        <f>свод!R145</f>
        <v>25</v>
      </c>
      <c r="E102" s="513">
        <f t="shared" si="11"/>
        <v>100</v>
      </c>
      <c r="F102" s="513"/>
      <c r="G102" s="513">
        <f t="shared" si="10"/>
        <v>0</v>
      </c>
      <c r="H102" s="288"/>
      <c r="I102" s="289"/>
    </row>
    <row r="103" spans="1:9" s="8" customFormat="1" x14ac:dyDescent="0.25">
      <c r="A103" s="272"/>
      <c r="B103" s="304" t="s">
        <v>487</v>
      </c>
      <c r="C103" s="515">
        <f>свод!L146</f>
        <v>5</v>
      </c>
      <c r="D103" s="515">
        <f>свод!R146</f>
        <v>5</v>
      </c>
      <c r="E103" s="515">
        <f t="shared" si="11"/>
        <v>100</v>
      </c>
      <c r="F103" s="515"/>
      <c r="G103" s="515">
        <f t="shared" si="10"/>
        <v>0</v>
      </c>
      <c r="H103" s="288"/>
      <c r="I103" s="289"/>
    </row>
    <row r="104" spans="1:9" s="8" customFormat="1" ht="47.25" x14ac:dyDescent="0.25">
      <c r="A104" s="272"/>
      <c r="B104" s="331" t="s">
        <v>488</v>
      </c>
      <c r="C104" s="513">
        <f>свод!L147</f>
        <v>5</v>
      </c>
      <c r="D104" s="513">
        <f>свод!R147</f>
        <v>5</v>
      </c>
      <c r="E104" s="513">
        <f t="shared" si="11"/>
        <v>100</v>
      </c>
      <c r="F104" s="513"/>
      <c r="G104" s="513">
        <f t="shared" si="10"/>
        <v>0</v>
      </c>
      <c r="H104" s="288"/>
      <c r="I104" s="289"/>
    </row>
    <row r="105" spans="1:9" s="8" customFormat="1" ht="31.5" hidden="1" x14ac:dyDescent="0.25">
      <c r="A105" s="272"/>
      <c r="B105" s="311" t="s">
        <v>792</v>
      </c>
      <c r="C105" s="511">
        <f>свод!L148</f>
        <v>0</v>
      </c>
      <c r="D105" s="511">
        <f>свод!R148</f>
        <v>0</v>
      </c>
      <c r="E105" s="511" t="e">
        <f t="shared" si="11"/>
        <v>#DIV/0!</v>
      </c>
      <c r="F105" s="511"/>
      <c r="G105" s="511">
        <f t="shared" si="10"/>
        <v>0</v>
      </c>
      <c r="H105" s="7"/>
      <c r="I105" s="289"/>
    </row>
    <row r="106" spans="1:9" s="8" customFormat="1" ht="31.5" hidden="1" x14ac:dyDescent="0.25">
      <c r="A106" s="272"/>
      <c r="B106" s="331" t="s">
        <v>482</v>
      </c>
      <c r="C106" s="513">
        <f>свод!L149</f>
        <v>0</v>
      </c>
      <c r="D106" s="513">
        <f>свод!R149</f>
        <v>0</v>
      </c>
      <c r="E106" s="513" t="e">
        <f t="shared" si="11"/>
        <v>#DIV/0!</v>
      </c>
      <c r="F106" s="513"/>
      <c r="G106" s="513">
        <f t="shared" si="10"/>
        <v>0</v>
      </c>
      <c r="H106" s="333"/>
      <c r="I106" s="289"/>
    </row>
    <row r="107" spans="1:9" s="8" customFormat="1" ht="31.5" x14ac:dyDescent="0.25">
      <c r="A107" s="272"/>
      <c r="B107" s="330" t="s">
        <v>309</v>
      </c>
      <c r="C107" s="509">
        <f>свод!L150</f>
        <v>108.4</v>
      </c>
      <c r="D107" s="509">
        <f>свод!R150</f>
        <v>107.5</v>
      </c>
      <c r="E107" s="516">
        <f t="shared" si="11"/>
        <v>99.169741697416967</v>
      </c>
      <c r="F107" s="509"/>
      <c r="G107" s="509">
        <f t="shared" si="10"/>
        <v>0.90000000000000568</v>
      </c>
      <c r="H107" s="277"/>
      <c r="I107" s="289"/>
    </row>
    <row r="108" spans="1:9" s="8" customFormat="1" ht="63" x14ac:dyDescent="0.25">
      <c r="A108" s="272"/>
      <c r="B108" s="334" t="s">
        <v>489</v>
      </c>
      <c r="C108" s="513">
        <f>свод!L151</f>
        <v>100</v>
      </c>
      <c r="D108" s="513">
        <f>свод!R151</f>
        <v>100</v>
      </c>
      <c r="E108" s="513">
        <f t="shared" si="11"/>
        <v>100</v>
      </c>
      <c r="F108" s="513"/>
      <c r="G108" s="513">
        <f t="shared" si="10"/>
        <v>0</v>
      </c>
      <c r="H108" s="288"/>
      <c r="I108" s="289"/>
    </row>
    <row r="109" spans="1:9" s="8" customFormat="1" ht="47.25" x14ac:dyDescent="0.25">
      <c r="A109" s="272"/>
      <c r="B109" s="334" t="s">
        <v>490</v>
      </c>
      <c r="C109" s="513">
        <f>свод!L152</f>
        <v>8.4</v>
      </c>
      <c r="D109" s="513">
        <f>свод!R152</f>
        <v>7.5</v>
      </c>
      <c r="E109" s="513">
        <f t="shared" si="11"/>
        <v>89.285714285714278</v>
      </c>
      <c r="F109" s="513"/>
      <c r="G109" s="513">
        <f t="shared" si="10"/>
        <v>0.90000000000000036</v>
      </c>
      <c r="H109" s="157"/>
      <c r="I109" s="289"/>
    </row>
    <row r="110" spans="1:9" s="8" customFormat="1" x14ac:dyDescent="0.25">
      <c r="A110" s="272"/>
      <c r="B110" s="330" t="s">
        <v>310</v>
      </c>
      <c r="C110" s="509">
        <f>свод!L153</f>
        <v>1296.97102</v>
      </c>
      <c r="D110" s="509">
        <f>свод!R153</f>
        <v>1296.97</v>
      </c>
      <c r="E110" s="509">
        <f t="shared" si="11"/>
        <v>99.999921355220422</v>
      </c>
      <c r="F110" s="509"/>
      <c r="G110" s="509">
        <f t="shared" si="10"/>
        <v>1.019999999925858E-3</v>
      </c>
      <c r="H110" s="157"/>
      <c r="I110" s="289"/>
    </row>
    <row r="111" spans="1:9" s="8" customFormat="1" ht="63" hidden="1" x14ac:dyDescent="0.25">
      <c r="A111" s="272"/>
      <c r="B111" s="277" t="s">
        <v>793</v>
      </c>
      <c r="C111" s="513">
        <f>свод!L154</f>
        <v>0</v>
      </c>
      <c r="D111" s="513">
        <f>свод!R154</f>
        <v>0</v>
      </c>
      <c r="E111" s="513" t="e">
        <f t="shared" si="11"/>
        <v>#DIV/0!</v>
      </c>
      <c r="F111" s="513"/>
      <c r="G111" s="513">
        <f t="shared" si="10"/>
        <v>0</v>
      </c>
      <c r="H111" s="288"/>
      <c r="I111" s="289"/>
    </row>
    <row r="112" spans="1:9" s="8" customFormat="1" ht="47.25" hidden="1" x14ac:dyDescent="0.25">
      <c r="A112" s="272"/>
      <c r="B112" s="277" t="s">
        <v>491</v>
      </c>
      <c r="C112" s="513">
        <f>свод!L155</f>
        <v>0</v>
      </c>
      <c r="D112" s="513">
        <f>свод!R155</f>
        <v>0</v>
      </c>
      <c r="E112" s="513" t="e">
        <f t="shared" si="11"/>
        <v>#DIV/0!</v>
      </c>
      <c r="F112" s="513"/>
      <c r="G112" s="513">
        <f t="shared" si="10"/>
        <v>0</v>
      </c>
      <c r="H112" s="277"/>
      <c r="I112" s="289"/>
    </row>
    <row r="113" spans="1:9" s="8" customFormat="1" x14ac:dyDescent="0.25">
      <c r="A113" s="272"/>
      <c r="B113" s="335" t="s">
        <v>794</v>
      </c>
      <c r="C113" s="369">
        <f>свод!L156</f>
        <v>1296.97102</v>
      </c>
      <c r="D113" s="369">
        <f>свод!R156</f>
        <v>1296.97</v>
      </c>
      <c r="E113" s="369">
        <f t="shared" si="11"/>
        <v>99.999921355220422</v>
      </c>
      <c r="F113" s="369"/>
      <c r="G113" s="369">
        <f t="shared" si="10"/>
        <v>1.019999999925858E-3</v>
      </c>
      <c r="H113" s="288"/>
      <c r="I113" s="289"/>
    </row>
    <row r="114" spans="1:9" s="283" customFormat="1" ht="47.25" x14ac:dyDescent="0.25">
      <c r="A114" s="551">
        <v>9</v>
      </c>
      <c r="B114" s="80" t="str">
        <f>свод!B122</f>
        <v xml:space="preserve">Муниципальная программа «Развитие физической культуры и спорта в МР «Горный улус» на 2018-2024 годы» </v>
      </c>
      <c r="C114" s="269">
        <f>SUM(C115+C118+C121+C125)+C127</f>
        <v>6672.83</v>
      </c>
      <c r="D114" s="269">
        <f>SUM(D115+D118+D121+D125)+D127</f>
        <v>6672.3200000000006</v>
      </c>
      <c r="E114" s="269">
        <f>SUM(D114/C114*100)</f>
        <v>99.992357065892591</v>
      </c>
      <c r="F114" s="270">
        <f>D114/(C114/4*3)*100</f>
        <v>133.32314275452347</v>
      </c>
      <c r="G114" s="269">
        <f t="shared" ref="G114:G129" si="12">SUM(C114-D114)</f>
        <v>0.50999999999930878</v>
      </c>
      <c r="H114" s="271"/>
      <c r="I114" s="336" t="s">
        <v>641</v>
      </c>
    </row>
    <row r="115" spans="1:9" s="8" customFormat="1" ht="31.5" x14ac:dyDescent="0.25">
      <c r="A115" s="272"/>
      <c r="B115" s="57" t="s">
        <v>642</v>
      </c>
      <c r="C115" s="286">
        <f>свод!L123</f>
        <v>2202.83</v>
      </c>
      <c r="D115" s="286">
        <f>свод!R123</f>
        <v>2202.3200000000002</v>
      </c>
      <c r="E115" s="286">
        <f>SUM(D115/C115*100)</f>
        <v>99.976847963755716</v>
      </c>
      <c r="F115" s="286"/>
      <c r="G115" s="275">
        <f t="shared" si="12"/>
        <v>0.50999999999976353</v>
      </c>
      <c r="H115" s="324"/>
      <c r="I115" s="289"/>
    </row>
    <row r="116" spans="1:9" s="8" customFormat="1" ht="63" x14ac:dyDescent="0.25">
      <c r="A116" s="272"/>
      <c r="B116" s="324" t="s">
        <v>470</v>
      </c>
      <c r="C116" s="133">
        <f>свод!L124</f>
        <v>2112.08</v>
      </c>
      <c r="D116" s="133">
        <f>свод!R124</f>
        <v>2111.5700000000002</v>
      </c>
      <c r="E116" s="286">
        <f t="shared" ref="E116:E129" si="13">SUM(D116/C116*100)</f>
        <v>99.975853187379286</v>
      </c>
      <c r="F116" s="286"/>
      <c r="G116" s="275">
        <f t="shared" si="12"/>
        <v>0.50999999999976353</v>
      </c>
      <c r="H116" s="324" t="s">
        <v>1049</v>
      </c>
      <c r="I116" s="289"/>
    </row>
    <row r="117" spans="1:9" s="8" customFormat="1" ht="31.5" x14ac:dyDescent="0.25">
      <c r="A117" s="272"/>
      <c r="B117" s="337" t="s">
        <v>471</v>
      </c>
      <c r="C117" s="133">
        <f>свод!L125</f>
        <v>90.75</v>
      </c>
      <c r="D117" s="338">
        <f>свод!R125</f>
        <v>90.75</v>
      </c>
      <c r="E117" s="286">
        <f t="shared" si="13"/>
        <v>100</v>
      </c>
      <c r="F117" s="286"/>
      <c r="G117" s="275">
        <f t="shared" si="12"/>
        <v>0</v>
      </c>
      <c r="H117" s="324"/>
      <c r="I117" s="289"/>
    </row>
    <row r="118" spans="1:9" s="8" customFormat="1" x14ac:dyDescent="0.25">
      <c r="A118" s="272"/>
      <c r="B118" s="339" t="s">
        <v>472</v>
      </c>
      <c r="C118" s="286">
        <f>свод!L126</f>
        <v>841.75</v>
      </c>
      <c r="D118" s="286">
        <f>свод!R126</f>
        <v>841.75</v>
      </c>
      <c r="E118" s="286">
        <f t="shared" si="13"/>
        <v>100</v>
      </c>
      <c r="F118" s="286"/>
      <c r="G118" s="275">
        <f t="shared" si="12"/>
        <v>0</v>
      </c>
      <c r="H118" s="324"/>
      <c r="I118" s="289"/>
    </row>
    <row r="119" spans="1:9" s="8" customFormat="1" x14ac:dyDescent="0.25">
      <c r="A119" s="272"/>
      <c r="B119" s="58" t="s">
        <v>473</v>
      </c>
      <c r="C119" s="340">
        <f>свод!L127</f>
        <v>413.05</v>
      </c>
      <c r="D119" s="133">
        <f>свод!R127</f>
        <v>413.05</v>
      </c>
      <c r="E119" s="286">
        <f t="shared" si="13"/>
        <v>100</v>
      </c>
      <c r="F119" s="286"/>
      <c r="G119" s="275">
        <f t="shared" si="12"/>
        <v>0</v>
      </c>
      <c r="H119" s="324"/>
      <c r="I119" s="289"/>
    </row>
    <row r="120" spans="1:9" s="8" customFormat="1" ht="31.5" x14ac:dyDescent="0.25">
      <c r="A120" s="272"/>
      <c r="B120" s="312" t="s">
        <v>474</v>
      </c>
      <c r="C120" s="133">
        <f>свод!L128</f>
        <v>428.7</v>
      </c>
      <c r="D120" s="133">
        <f>свод!R128</f>
        <v>428.7</v>
      </c>
      <c r="E120" s="286">
        <f t="shared" si="13"/>
        <v>100</v>
      </c>
      <c r="F120" s="286"/>
      <c r="G120" s="275">
        <f t="shared" si="12"/>
        <v>0</v>
      </c>
      <c r="H120" s="324"/>
      <c r="I120" s="289"/>
    </row>
    <row r="121" spans="1:9" s="8" customFormat="1" x14ac:dyDescent="0.25">
      <c r="A121" s="272"/>
      <c r="B121" s="339" t="s">
        <v>475</v>
      </c>
      <c r="C121" s="286">
        <f>свод!L129</f>
        <v>2329.4499999999998</v>
      </c>
      <c r="D121" s="286">
        <f>свод!R129</f>
        <v>2329.4499999999998</v>
      </c>
      <c r="E121" s="286">
        <f t="shared" si="13"/>
        <v>100</v>
      </c>
      <c r="F121" s="286"/>
      <c r="G121" s="275">
        <f t="shared" si="12"/>
        <v>0</v>
      </c>
      <c r="H121" s="324"/>
      <c r="I121" s="289"/>
    </row>
    <row r="122" spans="1:9" s="8" customFormat="1" ht="31.5" x14ac:dyDescent="0.25">
      <c r="A122" s="272"/>
      <c r="B122" s="324" t="s">
        <v>476</v>
      </c>
      <c r="C122" s="133">
        <f>свод!L130</f>
        <v>467.35</v>
      </c>
      <c r="D122" s="133">
        <f>свод!R130</f>
        <v>467.35</v>
      </c>
      <c r="E122" s="286">
        <f t="shared" si="13"/>
        <v>100</v>
      </c>
      <c r="F122" s="286"/>
      <c r="G122" s="275">
        <f t="shared" si="12"/>
        <v>0</v>
      </c>
      <c r="H122" s="324"/>
      <c r="I122" s="289"/>
    </row>
    <row r="123" spans="1:9" s="8" customFormat="1" ht="31.5" x14ac:dyDescent="0.25">
      <c r="A123" s="272"/>
      <c r="B123" s="312" t="s">
        <v>474</v>
      </c>
      <c r="C123" s="133">
        <f>свод!L131</f>
        <v>670.44</v>
      </c>
      <c r="D123" s="133">
        <f>свод!R131</f>
        <v>670.44</v>
      </c>
      <c r="E123" s="286">
        <f t="shared" si="13"/>
        <v>100</v>
      </c>
      <c r="F123" s="286"/>
      <c r="G123" s="275">
        <f t="shared" si="12"/>
        <v>0</v>
      </c>
      <c r="H123" s="324"/>
      <c r="I123" s="289"/>
    </row>
    <row r="124" spans="1:9" s="8" customFormat="1" ht="31.5" x14ac:dyDescent="0.25">
      <c r="A124" s="272"/>
      <c r="B124" s="324" t="s">
        <v>477</v>
      </c>
      <c r="C124" s="133">
        <f>свод!L132</f>
        <v>1191.6600000000001</v>
      </c>
      <c r="D124" s="133">
        <f>свод!R132</f>
        <v>1191.6600000000001</v>
      </c>
      <c r="E124" s="286">
        <f t="shared" si="13"/>
        <v>100</v>
      </c>
      <c r="F124" s="286"/>
      <c r="G124" s="275">
        <f t="shared" si="12"/>
        <v>0</v>
      </c>
      <c r="H124" s="324"/>
      <c r="I124" s="289"/>
    </row>
    <row r="125" spans="1:9" s="8" customFormat="1" ht="31.5" x14ac:dyDescent="0.25">
      <c r="A125" s="272"/>
      <c r="B125" s="339" t="s">
        <v>478</v>
      </c>
      <c r="C125" s="134">
        <f>свод!L133</f>
        <v>98.8</v>
      </c>
      <c r="D125" s="134">
        <f>свод!R133</f>
        <v>98.8</v>
      </c>
      <c r="E125" s="286">
        <f t="shared" si="13"/>
        <v>100</v>
      </c>
      <c r="F125" s="286"/>
      <c r="G125" s="275">
        <f t="shared" si="12"/>
        <v>0</v>
      </c>
      <c r="H125" s="324"/>
      <c r="I125" s="289"/>
    </row>
    <row r="126" spans="1:9" s="8" customFormat="1" ht="31.5" x14ac:dyDescent="0.25">
      <c r="A126" s="272"/>
      <c r="B126" s="324" t="s">
        <v>474</v>
      </c>
      <c r="C126" s="276">
        <f>свод!L134</f>
        <v>98.8</v>
      </c>
      <c r="D126" s="276">
        <f>свод!R134</f>
        <v>98.8</v>
      </c>
      <c r="E126" s="286">
        <f t="shared" si="13"/>
        <v>100</v>
      </c>
      <c r="F126" s="286"/>
      <c r="G126" s="275">
        <f t="shared" si="12"/>
        <v>0</v>
      </c>
      <c r="H126" s="324"/>
      <c r="I126" s="289"/>
    </row>
    <row r="127" spans="1:9" s="8" customFormat="1" x14ac:dyDescent="0.25">
      <c r="A127" s="272"/>
      <c r="B127" s="339" t="s">
        <v>479</v>
      </c>
      <c r="C127" s="286">
        <f>свод!L135</f>
        <v>1200</v>
      </c>
      <c r="D127" s="286">
        <f>свод!R135</f>
        <v>1200</v>
      </c>
      <c r="E127" s="286">
        <f t="shared" si="13"/>
        <v>100</v>
      </c>
      <c r="F127" s="286"/>
      <c r="G127" s="275">
        <f t="shared" si="12"/>
        <v>0</v>
      </c>
      <c r="H127" s="324"/>
      <c r="I127" s="289"/>
    </row>
    <row r="128" spans="1:9" s="8" customFormat="1" ht="47.25" x14ac:dyDescent="0.25">
      <c r="A128" s="272"/>
      <c r="B128" s="324" t="s">
        <v>480</v>
      </c>
      <c r="C128" s="133">
        <f>свод!L136</f>
        <v>900</v>
      </c>
      <c r="D128" s="133">
        <f>свод!R136</f>
        <v>900</v>
      </c>
      <c r="E128" s="286">
        <f t="shared" si="13"/>
        <v>100</v>
      </c>
      <c r="F128" s="286"/>
      <c r="G128" s="275">
        <f t="shared" si="12"/>
        <v>0</v>
      </c>
      <c r="H128" s="324"/>
      <c r="I128" s="289"/>
    </row>
    <row r="129" spans="1:9" s="8" customFormat="1" ht="31.5" x14ac:dyDescent="0.25">
      <c r="A129" s="272"/>
      <c r="B129" s="324" t="s">
        <v>481</v>
      </c>
      <c r="C129" s="133">
        <f>свод!L137</f>
        <v>300</v>
      </c>
      <c r="D129" s="133">
        <f>свод!R137</f>
        <v>300</v>
      </c>
      <c r="E129" s="286">
        <f t="shared" si="13"/>
        <v>100</v>
      </c>
      <c r="F129" s="286"/>
      <c r="G129" s="275">
        <f t="shared" si="12"/>
        <v>0</v>
      </c>
      <c r="H129" s="324"/>
      <c r="I129" s="289"/>
    </row>
    <row r="130" spans="1:9" s="283" customFormat="1" ht="47.25" x14ac:dyDescent="0.25">
      <c r="A130" s="551">
        <v>10</v>
      </c>
      <c r="B130" s="80" t="str">
        <f>свод!B161</f>
        <v>Муниципальная программа «Управление муниципальной собственностью МР "Горный улус"  на 2020-2024 годы»</v>
      </c>
      <c r="C130" s="135">
        <f>C131+C132+C138</f>
        <v>12167.689910000001</v>
      </c>
      <c r="D130" s="135">
        <f>D131+D132+D138</f>
        <v>12139.103530000002</v>
      </c>
      <c r="E130" s="269">
        <f>SUM(D130/C130*100)</f>
        <v>99.765063210753709</v>
      </c>
      <c r="F130" s="270">
        <f>D130/(C130/4*3)*100</f>
        <v>133.02008428100493</v>
      </c>
      <c r="G130" s="269">
        <f>SUM(C130-D130)</f>
        <v>28.586379999998826</v>
      </c>
      <c r="H130" s="271"/>
      <c r="I130" s="295" t="s">
        <v>643</v>
      </c>
    </row>
    <row r="131" spans="1:9" s="8" customFormat="1" x14ac:dyDescent="0.25">
      <c r="A131" s="272"/>
      <c r="B131" s="318" t="s">
        <v>642</v>
      </c>
      <c r="C131" s="518">
        <f>свод!L162</f>
        <v>11062.04</v>
      </c>
      <c r="D131" s="518">
        <f>свод!R162</f>
        <v>11047.313620000001</v>
      </c>
      <c r="E131" s="518">
        <f t="shared" ref="E131:E149" si="14">SUM(D131/C131*100)</f>
        <v>99.866874645182989</v>
      </c>
      <c r="F131" s="607"/>
      <c r="G131" s="618">
        <f>SUM(C131-D131)</f>
        <v>14.726380000000063</v>
      </c>
      <c r="H131" s="288"/>
      <c r="I131" s="289"/>
    </row>
    <row r="132" spans="1:9" s="8" customFormat="1" x14ac:dyDescent="0.25">
      <c r="A132" s="272"/>
      <c r="B132" s="319" t="s">
        <v>795</v>
      </c>
      <c r="C132" s="608">
        <f>свод!L163</f>
        <v>207.66990999999999</v>
      </c>
      <c r="D132" s="608">
        <f>свод!R163</f>
        <v>207.58991</v>
      </c>
      <c r="E132" s="608">
        <f t="shared" si="14"/>
        <v>99.961477327167913</v>
      </c>
      <c r="F132" s="609"/>
      <c r="G132" s="619">
        <f>SUM(C132-D132)</f>
        <v>7.9999999999984084E-2</v>
      </c>
      <c r="H132" s="288"/>
      <c r="I132" s="289"/>
    </row>
    <row r="133" spans="1:9" s="8" customFormat="1" ht="31.5" x14ac:dyDescent="0.25">
      <c r="A133" s="272"/>
      <c r="B133" s="341" t="s">
        <v>492</v>
      </c>
      <c r="C133" s="610">
        <f>свод!L164</f>
        <v>207.66990999999999</v>
      </c>
      <c r="D133" s="610">
        <f>свод!R164</f>
        <v>207.58991</v>
      </c>
      <c r="E133" s="610">
        <f t="shared" si="14"/>
        <v>99.961477327167913</v>
      </c>
      <c r="F133" s="611"/>
      <c r="G133" s="620">
        <f>SUM(C133-D133)</f>
        <v>7.9999999999984084E-2</v>
      </c>
      <c r="H133" s="288"/>
      <c r="I133" s="289"/>
    </row>
    <row r="134" spans="1:9" s="8" customFormat="1" ht="31.5" x14ac:dyDescent="0.25">
      <c r="A134" s="272"/>
      <c r="B134" s="169" t="s">
        <v>493</v>
      </c>
      <c r="C134" s="612">
        <f>свод!L165</f>
        <v>95.214789999999994</v>
      </c>
      <c r="D134" s="612">
        <f>свод!R165</f>
        <v>95.134789999999995</v>
      </c>
      <c r="E134" s="612">
        <f>D134/C134*100</f>
        <v>99.91597943974881</v>
      </c>
      <c r="F134" s="613"/>
      <c r="G134" s="621">
        <f>C134-D134</f>
        <v>7.9999999999998295E-2</v>
      </c>
      <c r="H134" s="380" t="s">
        <v>1034</v>
      </c>
      <c r="I134" s="289"/>
    </row>
    <row r="135" spans="1:9" s="8" customFormat="1" ht="31.5" x14ac:dyDescent="0.25">
      <c r="A135" s="272"/>
      <c r="B135" s="169" t="s">
        <v>494</v>
      </c>
      <c r="C135" s="612">
        <f>свод!L166</f>
        <v>50</v>
      </c>
      <c r="D135" s="612">
        <f>свод!R166</f>
        <v>50</v>
      </c>
      <c r="E135" s="612">
        <f>D135/C135*100</f>
        <v>100</v>
      </c>
      <c r="F135" s="613"/>
      <c r="G135" s="621">
        <f>C135-D135</f>
        <v>0</v>
      </c>
      <c r="H135" s="380" t="s">
        <v>811</v>
      </c>
      <c r="I135" s="289"/>
    </row>
    <row r="136" spans="1:9" s="8" customFormat="1" x14ac:dyDescent="0.25">
      <c r="A136" s="272"/>
      <c r="B136" s="169" t="s">
        <v>495</v>
      </c>
      <c r="C136" s="612">
        <f>свод!L167</f>
        <v>46.805120000000002</v>
      </c>
      <c r="D136" s="612">
        <f>свод!R167</f>
        <v>46.805120000000002</v>
      </c>
      <c r="E136" s="612">
        <f>D136/C136*100</f>
        <v>100</v>
      </c>
      <c r="F136" s="613"/>
      <c r="G136" s="621">
        <f>C136-D136</f>
        <v>0</v>
      </c>
      <c r="H136" s="380" t="s">
        <v>1035</v>
      </c>
      <c r="I136" s="289"/>
    </row>
    <row r="137" spans="1:9" s="8" customFormat="1" x14ac:dyDescent="0.25">
      <c r="A137" s="272"/>
      <c r="B137" s="169" t="s">
        <v>797</v>
      </c>
      <c r="C137" s="612">
        <f>свод!L168</f>
        <v>15.65</v>
      </c>
      <c r="D137" s="612">
        <f>свод!R168</f>
        <v>15.65</v>
      </c>
      <c r="E137" s="612">
        <f>D137/C137*100</f>
        <v>100</v>
      </c>
      <c r="F137" s="613"/>
      <c r="G137" s="621">
        <f>C137-D137</f>
        <v>0</v>
      </c>
      <c r="H137" s="324" t="s">
        <v>1033</v>
      </c>
      <c r="I137" s="289"/>
    </row>
    <row r="138" spans="1:9" s="8" customFormat="1" x14ac:dyDescent="0.25">
      <c r="A138" s="272"/>
      <c r="B138" s="319" t="s">
        <v>796</v>
      </c>
      <c r="C138" s="608">
        <f>свод!L169</f>
        <v>897.98</v>
      </c>
      <c r="D138" s="608">
        <f>свод!R169</f>
        <v>884.2</v>
      </c>
      <c r="E138" s="608">
        <f t="shared" si="14"/>
        <v>98.465444664691873</v>
      </c>
      <c r="F138" s="609"/>
      <c r="G138" s="619">
        <f>SUM(C138-D138)</f>
        <v>13.779999999999973</v>
      </c>
      <c r="H138" s="288"/>
      <c r="I138" s="289"/>
    </row>
    <row r="139" spans="1:9" s="8" customFormat="1" x14ac:dyDescent="0.25">
      <c r="A139" s="272"/>
      <c r="B139" s="342" t="s">
        <v>496</v>
      </c>
      <c r="C139" s="614">
        <f>свод!L170</f>
        <v>597.98</v>
      </c>
      <c r="D139" s="614">
        <f>свод!R170</f>
        <v>596</v>
      </c>
      <c r="E139" s="614">
        <f t="shared" si="14"/>
        <v>99.668885246998229</v>
      </c>
      <c r="F139" s="615"/>
      <c r="G139" s="622">
        <f>SUM(C139-D139)</f>
        <v>1.9800000000000182</v>
      </c>
      <c r="H139" s="288"/>
      <c r="I139" s="289"/>
    </row>
    <row r="140" spans="1:9" s="8" customFormat="1" ht="31.5" x14ac:dyDescent="0.25">
      <c r="A140" s="272"/>
      <c r="B140" s="7" t="s">
        <v>497</v>
      </c>
      <c r="C140" s="520">
        <f>свод!L171</f>
        <v>597.98</v>
      </c>
      <c r="D140" s="520">
        <f>свод!R171</f>
        <v>596</v>
      </c>
      <c r="E140" s="520">
        <f t="shared" si="14"/>
        <v>99.668885246998229</v>
      </c>
      <c r="F140" s="616"/>
      <c r="G140" s="623">
        <f>SUM(C140-D140)</f>
        <v>1.9800000000000182</v>
      </c>
      <c r="H140" s="380"/>
      <c r="I140" s="289"/>
    </row>
    <row r="141" spans="1:9" s="305" customFormat="1" ht="30" x14ac:dyDescent="0.25">
      <c r="A141" s="298"/>
      <c r="B141" s="605" t="s">
        <v>1036</v>
      </c>
      <c r="C141" s="617">
        <v>270</v>
      </c>
      <c r="D141" s="617">
        <v>270</v>
      </c>
      <c r="E141" s="614">
        <f t="shared" si="14"/>
        <v>100</v>
      </c>
      <c r="F141" s="615"/>
      <c r="G141" s="622">
        <f>D141-C141</f>
        <v>0</v>
      </c>
      <c r="H141" s="603" t="s">
        <v>1043</v>
      </c>
      <c r="I141" s="304"/>
    </row>
    <row r="142" spans="1:9" s="305" customFormat="1" ht="30" x14ac:dyDescent="0.25">
      <c r="A142" s="298"/>
      <c r="B142" s="606" t="s">
        <v>1037</v>
      </c>
      <c r="C142" s="617">
        <v>94</v>
      </c>
      <c r="D142" s="617">
        <v>94</v>
      </c>
      <c r="E142" s="614">
        <f t="shared" si="14"/>
        <v>100</v>
      </c>
      <c r="F142" s="615"/>
      <c r="G142" s="622">
        <f t="shared" ref="G142:G147" si="15">D142-C142</f>
        <v>0</v>
      </c>
      <c r="H142" s="604" t="s">
        <v>1044</v>
      </c>
      <c r="I142" s="304"/>
    </row>
    <row r="143" spans="1:9" s="305" customFormat="1" x14ac:dyDescent="0.25">
      <c r="A143" s="298"/>
      <c r="B143" s="606" t="s">
        <v>1038</v>
      </c>
      <c r="C143" s="617">
        <v>56</v>
      </c>
      <c r="D143" s="617">
        <v>56</v>
      </c>
      <c r="E143" s="614">
        <f t="shared" si="14"/>
        <v>100</v>
      </c>
      <c r="F143" s="615"/>
      <c r="G143" s="622">
        <f t="shared" si="15"/>
        <v>0</v>
      </c>
      <c r="H143" s="604" t="s">
        <v>1044</v>
      </c>
      <c r="I143" s="304"/>
    </row>
    <row r="144" spans="1:9" s="305" customFormat="1" ht="30" x14ac:dyDescent="0.25">
      <c r="A144" s="298"/>
      <c r="B144" s="606" t="s">
        <v>1039</v>
      </c>
      <c r="C144" s="617">
        <v>42</v>
      </c>
      <c r="D144" s="617">
        <v>42</v>
      </c>
      <c r="E144" s="614">
        <f t="shared" si="14"/>
        <v>100</v>
      </c>
      <c r="F144" s="615"/>
      <c r="G144" s="622">
        <f t="shared" si="15"/>
        <v>0</v>
      </c>
      <c r="H144" s="604" t="s">
        <v>1044</v>
      </c>
      <c r="I144" s="304"/>
    </row>
    <row r="145" spans="1:9" s="305" customFormat="1" ht="30" x14ac:dyDescent="0.25">
      <c r="A145" s="298"/>
      <c r="B145" s="606" t="s">
        <v>1040</v>
      </c>
      <c r="C145" s="617">
        <v>52</v>
      </c>
      <c r="D145" s="617">
        <v>52</v>
      </c>
      <c r="E145" s="614">
        <f t="shared" si="14"/>
        <v>100</v>
      </c>
      <c r="F145" s="615"/>
      <c r="G145" s="622">
        <f t="shared" si="15"/>
        <v>0</v>
      </c>
      <c r="H145" s="604" t="s">
        <v>1044</v>
      </c>
      <c r="I145" s="304"/>
    </row>
    <row r="146" spans="1:9" s="305" customFormat="1" x14ac:dyDescent="0.25">
      <c r="A146" s="298"/>
      <c r="B146" s="606" t="s">
        <v>1041</v>
      </c>
      <c r="C146" s="617">
        <v>72</v>
      </c>
      <c r="D146" s="617">
        <v>72</v>
      </c>
      <c r="E146" s="614">
        <f t="shared" si="14"/>
        <v>100</v>
      </c>
      <c r="F146" s="615"/>
      <c r="G146" s="622">
        <f t="shared" si="15"/>
        <v>0</v>
      </c>
      <c r="H146" s="604" t="s">
        <v>1044</v>
      </c>
      <c r="I146" s="304"/>
    </row>
    <row r="147" spans="1:9" s="305" customFormat="1" x14ac:dyDescent="0.25">
      <c r="A147" s="298"/>
      <c r="B147" s="606" t="s">
        <v>1042</v>
      </c>
      <c r="C147" s="617">
        <v>10</v>
      </c>
      <c r="D147" s="617">
        <v>10</v>
      </c>
      <c r="E147" s="614">
        <f t="shared" si="14"/>
        <v>100</v>
      </c>
      <c r="F147" s="615"/>
      <c r="G147" s="622">
        <f t="shared" si="15"/>
        <v>0</v>
      </c>
      <c r="H147" s="604" t="s">
        <v>1045</v>
      </c>
      <c r="I147" s="304"/>
    </row>
    <row r="148" spans="1:9" s="8" customFormat="1" ht="31.5" x14ac:dyDescent="0.25">
      <c r="A148" s="272"/>
      <c r="B148" s="587" t="s">
        <v>498</v>
      </c>
      <c r="C148" s="614">
        <f>свод!L172</f>
        <v>300</v>
      </c>
      <c r="D148" s="614">
        <f>свод!R172</f>
        <v>288.2</v>
      </c>
      <c r="E148" s="614">
        <f t="shared" si="14"/>
        <v>96.066666666666663</v>
      </c>
      <c r="F148" s="615"/>
      <c r="G148" s="622">
        <f>SUM(C148-D148)</f>
        <v>11.800000000000011</v>
      </c>
      <c r="H148" s="324"/>
      <c r="I148" s="289"/>
    </row>
    <row r="149" spans="1:9" s="305" customFormat="1" x14ac:dyDescent="0.25">
      <c r="A149" s="298"/>
      <c r="B149" s="342" t="s">
        <v>42</v>
      </c>
      <c r="C149" s="614">
        <f>свод!L173</f>
        <v>288.2</v>
      </c>
      <c r="D149" s="614">
        <f>свод!R173</f>
        <v>288.2</v>
      </c>
      <c r="E149" s="614">
        <f t="shared" si="14"/>
        <v>100</v>
      </c>
      <c r="F149" s="615"/>
      <c r="G149" s="622">
        <f>SUM(C149-D149)</f>
        <v>0</v>
      </c>
      <c r="H149" s="378"/>
      <c r="I149" s="304"/>
    </row>
    <row r="150" spans="1:9" s="305" customFormat="1" ht="31.5" x14ac:dyDescent="0.25">
      <c r="A150" s="298"/>
      <c r="B150" s="342" t="s">
        <v>798</v>
      </c>
      <c r="C150" s="614">
        <f>свод!L174</f>
        <v>11.8</v>
      </c>
      <c r="D150" s="614">
        <f>свод!R174</f>
        <v>0</v>
      </c>
      <c r="E150" s="614">
        <f>D150/C150*100</f>
        <v>0</v>
      </c>
      <c r="F150" s="615"/>
      <c r="G150" s="622">
        <f>C150-D150</f>
        <v>11.8</v>
      </c>
      <c r="H150" s="311" t="s">
        <v>883</v>
      </c>
      <c r="I150" s="304"/>
    </row>
    <row r="151" spans="1:9" s="82" customFormat="1" ht="31.5" x14ac:dyDescent="0.25">
      <c r="A151" s="574">
        <v>11</v>
      </c>
      <c r="B151" s="86" t="str">
        <f>свод!B157</f>
        <v>Муниципальная программа «Охрана окружающей среды в Горном улусе  на 2017-2024 годы»</v>
      </c>
      <c r="C151" s="99">
        <f>C152</f>
        <v>120</v>
      </c>
      <c r="D151" s="154">
        <f>D152</f>
        <v>108.75</v>
      </c>
      <c r="E151" s="93">
        <f>SUM(D151/C151*100)</f>
        <v>90.625</v>
      </c>
      <c r="F151" s="94">
        <f>D151/(C151/4*3)*100</f>
        <v>120.83333333333333</v>
      </c>
      <c r="G151" s="93">
        <f>SUM(C151-D151)</f>
        <v>11.25</v>
      </c>
      <c r="H151" s="102"/>
      <c r="I151" s="88" t="s">
        <v>886</v>
      </c>
    </row>
    <row r="152" spans="1:9" s="8" customFormat="1" ht="31.5" x14ac:dyDescent="0.25">
      <c r="A152" s="272"/>
      <c r="B152" s="343" t="s">
        <v>887</v>
      </c>
      <c r="C152" s="517">
        <f>свод!L158</f>
        <v>120</v>
      </c>
      <c r="D152" s="517">
        <f>SUM(D153:D154)</f>
        <v>108.75</v>
      </c>
      <c r="E152" s="518">
        <f>SUM(D152/C152*100)</f>
        <v>90.625</v>
      </c>
      <c r="F152" s="518"/>
      <c r="G152" s="519">
        <f>SUM(C152-D152)</f>
        <v>11.25</v>
      </c>
      <c r="H152" s="324"/>
      <c r="I152" s="289"/>
    </row>
    <row r="153" spans="1:9" s="8" customFormat="1" ht="31.5" x14ac:dyDescent="0.25">
      <c r="A153" s="272"/>
      <c r="B153" s="344" t="s">
        <v>644</v>
      </c>
      <c r="C153" s="187">
        <v>111.25</v>
      </c>
      <c r="D153" s="520">
        <v>100</v>
      </c>
      <c r="E153" s="521">
        <v>0</v>
      </c>
      <c r="F153" s="521"/>
      <c r="G153" s="522">
        <f>SUM(C153-D153)</f>
        <v>11.25</v>
      </c>
      <c r="H153" s="7" t="s">
        <v>1032</v>
      </c>
      <c r="I153" s="289"/>
    </row>
    <row r="154" spans="1:9" s="8" customFormat="1" x14ac:dyDescent="0.25">
      <c r="A154" s="272"/>
      <c r="B154" s="344" t="s">
        <v>645</v>
      </c>
      <c r="C154" s="187">
        <v>8.75</v>
      </c>
      <c r="D154" s="520">
        <v>8.75</v>
      </c>
      <c r="E154" s="521">
        <v>0</v>
      </c>
      <c r="F154" s="521"/>
      <c r="G154" s="522">
        <f>SUM(C154-D154)</f>
        <v>0</v>
      </c>
      <c r="H154" s="7"/>
      <c r="I154" s="289"/>
    </row>
    <row r="155" spans="1:9" s="82" customFormat="1" ht="47.25" x14ac:dyDescent="0.25">
      <c r="A155" s="574">
        <v>12</v>
      </c>
      <c r="B155" s="85" t="str">
        <f>свод!B92</f>
        <v>Ведомственная целевая программа «Развитие информационного общества в МР "Горный улус" на 2020-2024 годы»</v>
      </c>
      <c r="C155" s="154">
        <f>SUM(C156+C158+C163+C173)</f>
        <v>2511.14</v>
      </c>
      <c r="D155" s="154">
        <f>SUM(D156+D158+D163+D173)</f>
        <v>2344.4127699999999</v>
      </c>
      <c r="E155" s="93">
        <f t="shared" ref="E155:E184" si="16">SUM(D155/C155*100)</f>
        <v>93.360496427917212</v>
      </c>
      <c r="F155" s="94">
        <f>D155/(C155/4*3)*100</f>
        <v>124.4806619038896</v>
      </c>
      <c r="G155" s="93">
        <f>SUM(C155-D155)</f>
        <v>166.72722999999996</v>
      </c>
      <c r="H155" s="102"/>
      <c r="I155" s="88" t="s">
        <v>646</v>
      </c>
    </row>
    <row r="156" spans="1:9" x14ac:dyDescent="0.25">
      <c r="A156" s="56"/>
      <c r="B156" s="313" t="s">
        <v>541</v>
      </c>
      <c r="C156" s="285">
        <f>свод!L93</f>
        <v>705.32</v>
      </c>
      <c r="D156" s="285">
        <f>свод!R93</f>
        <v>696.06127000000004</v>
      </c>
      <c r="E156" s="523">
        <f t="shared" si="16"/>
        <v>98.687300799637043</v>
      </c>
      <c r="F156" s="523"/>
      <c r="G156" s="523">
        <f>SUM(G157:G160)</f>
        <v>9.2587300000000141</v>
      </c>
      <c r="H156" s="70"/>
      <c r="I156" s="66"/>
    </row>
    <row r="157" spans="1:9" x14ac:dyDescent="0.25">
      <c r="A157" s="56"/>
      <c r="B157" s="312" t="s">
        <v>642</v>
      </c>
      <c r="C157" s="592">
        <f>свод!L94</f>
        <v>705.32</v>
      </c>
      <c r="D157" s="592">
        <f>свод!R94</f>
        <v>696.06127000000004</v>
      </c>
      <c r="E157" s="514">
        <f>SUM(D157/C157*100)</f>
        <v>98.687300799637043</v>
      </c>
      <c r="F157" s="514"/>
      <c r="G157" s="514">
        <f t="shared" ref="G157:G174" si="17">C157-D157</f>
        <v>9.2587300000000141</v>
      </c>
      <c r="H157" s="70" t="s">
        <v>1020</v>
      </c>
      <c r="I157" s="66"/>
    </row>
    <row r="158" spans="1:9" ht="31.5" x14ac:dyDescent="0.25">
      <c r="A158" s="56"/>
      <c r="B158" s="313" t="s">
        <v>799</v>
      </c>
      <c r="C158" s="285">
        <f>свод!L95</f>
        <v>664.9</v>
      </c>
      <c r="D158" s="285">
        <f>свод!R95</f>
        <v>664.9</v>
      </c>
      <c r="E158" s="523">
        <f t="shared" si="16"/>
        <v>100</v>
      </c>
      <c r="F158" s="523"/>
      <c r="G158" s="523">
        <f t="shared" si="17"/>
        <v>0</v>
      </c>
      <c r="H158" s="64"/>
      <c r="I158" s="66"/>
    </row>
    <row r="159" spans="1:9" ht="47.25" x14ac:dyDescent="0.25">
      <c r="A159" s="56"/>
      <c r="B159" s="306" t="s">
        <v>800</v>
      </c>
      <c r="C159" s="274">
        <f>свод!L96</f>
        <v>570</v>
      </c>
      <c r="D159" s="274">
        <f>свод!R96</f>
        <v>570</v>
      </c>
      <c r="E159" s="370">
        <f t="shared" si="16"/>
        <v>100</v>
      </c>
      <c r="F159" s="370"/>
      <c r="G159" s="370">
        <f t="shared" si="17"/>
        <v>0</v>
      </c>
      <c r="H159" s="164"/>
      <c r="I159" s="66"/>
    </row>
    <row r="160" spans="1:9" ht="47.25" x14ac:dyDescent="0.25">
      <c r="A160" s="56"/>
      <c r="B160" s="312" t="s">
        <v>463</v>
      </c>
      <c r="C160" s="592">
        <f>свод!L97</f>
        <v>50</v>
      </c>
      <c r="D160" s="592">
        <f>свод!R97</f>
        <v>50</v>
      </c>
      <c r="E160" s="514">
        <f t="shared" si="16"/>
        <v>100</v>
      </c>
      <c r="F160" s="514"/>
      <c r="G160" s="370">
        <f t="shared" si="17"/>
        <v>0</v>
      </c>
      <c r="H160" s="159" t="s">
        <v>1022</v>
      </c>
      <c r="I160" s="66"/>
    </row>
    <row r="161" spans="1:9" x14ac:dyDescent="0.25">
      <c r="A161" s="56"/>
      <c r="B161" s="312" t="s">
        <v>465</v>
      </c>
      <c r="C161" s="592">
        <f>свод!L98</f>
        <v>20</v>
      </c>
      <c r="D161" s="592">
        <f>свод!R98</f>
        <v>20</v>
      </c>
      <c r="E161" s="514">
        <f>D161/C161*100</f>
        <v>100</v>
      </c>
      <c r="F161" s="514"/>
      <c r="G161" s="370">
        <f t="shared" si="17"/>
        <v>0</v>
      </c>
      <c r="H161" s="159"/>
      <c r="I161" s="66"/>
    </row>
    <row r="162" spans="1:9" ht="47.25" x14ac:dyDescent="0.25">
      <c r="A162" s="56"/>
      <c r="B162" s="312" t="s">
        <v>457</v>
      </c>
      <c r="C162" s="592">
        <f>свод!L99</f>
        <v>24.9</v>
      </c>
      <c r="D162" s="592">
        <f>свод!R99</f>
        <v>24.9</v>
      </c>
      <c r="E162" s="514">
        <f t="shared" si="16"/>
        <v>100</v>
      </c>
      <c r="F162" s="514"/>
      <c r="G162" s="370">
        <f t="shared" si="17"/>
        <v>0</v>
      </c>
      <c r="H162" s="142"/>
      <c r="I162" s="66"/>
    </row>
    <row r="163" spans="1:9" ht="31.5" x14ac:dyDescent="0.25">
      <c r="A163" s="56"/>
      <c r="B163" s="316" t="s">
        <v>801</v>
      </c>
      <c r="C163" s="297">
        <f>свод!L100</f>
        <v>1067.1500000000001</v>
      </c>
      <c r="D163" s="297">
        <f>свод!R100</f>
        <v>909.68149999999991</v>
      </c>
      <c r="E163" s="510">
        <f t="shared" si="16"/>
        <v>85.244014430960959</v>
      </c>
      <c r="F163" s="510"/>
      <c r="G163" s="510">
        <f t="shared" si="17"/>
        <v>157.46850000000018</v>
      </c>
      <c r="H163" s="65"/>
      <c r="I163" s="66"/>
    </row>
    <row r="164" spans="1:9" ht="31.5" x14ac:dyDescent="0.25">
      <c r="A164" s="56"/>
      <c r="B164" s="346" t="s">
        <v>802</v>
      </c>
      <c r="C164" s="593">
        <f>свод!L101</f>
        <v>1017.085</v>
      </c>
      <c r="D164" s="593">
        <f>свод!R101</f>
        <v>859.61649999999997</v>
      </c>
      <c r="E164" s="512">
        <f t="shared" si="16"/>
        <v>84.517665681825989</v>
      </c>
      <c r="F164" s="512"/>
      <c r="G164" s="512">
        <f t="shared" si="17"/>
        <v>157.46850000000006</v>
      </c>
      <c r="H164" s="70"/>
      <c r="I164" s="66"/>
    </row>
    <row r="165" spans="1:9" ht="94.5" x14ac:dyDescent="0.25">
      <c r="A165" s="56"/>
      <c r="B165" s="347" t="s">
        <v>803</v>
      </c>
      <c r="C165" s="592">
        <f>свод!L102</f>
        <v>231.58500000000001</v>
      </c>
      <c r="D165" s="592">
        <f>свод!R102</f>
        <v>74.116500000000002</v>
      </c>
      <c r="E165" s="514">
        <f>SUM(D165/C165*100)</f>
        <v>32.004015804132393</v>
      </c>
      <c r="F165" s="514"/>
      <c r="G165" s="514">
        <f t="shared" si="17"/>
        <v>157.46850000000001</v>
      </c>
      <c r="H165" s="594" t="s">
        <v>1021</v>
      </c>
      <c r="I165" s="66"/>
    </row>
    <row r="166" spans="1:9" ht="63" x14ac:dyDescent="0.25">
      <c r="A166" s="56"/>
      <c r="B166" s="347" t="s">
        <v>458</v>
      </c>
      <c r="C166" s="592">
        <f>свод!L103</f>
        <v>250</v>
      </c>
      <c r="D166" s="592">
        <f>свод!R103</f>
        <v>250</v>
      </c>
      <c r="E166" s="514">
        <f>SUM(D166/C166*100)</f>
        <v>100</v>
      </c>
      <c r="F166" s="514"/>
      <c r="G166" s="514">
        <f t="shared" si="17"/>
        <v>0</v>
      </c>
      <c r="H166" s="132"/>
      <c r="I166" s="66"/>
    </row>
    <row r="167" spans="1:9" ht="78.75" x14ac:dyDescent="0.25">
      <c r="A167" s="56"/>
      <c r="B167" s="347" t="s">
        <v>459</v>
      </c>
      <c r="C167" s="592">
        <f>свод!L104</f>
        <v>100</v>
      </c>
      <c r="D167" s="592">
        <f>свод!R104</f>
        <v>100</v>
      </c>
      <c r="E167" s="514">
        <f>SUM(D167/C167*100)</f>
        <v>100</v>
      </c>
      <c r="F167" s="514"/>
      <c r="G167" s="514">
        <f t="shared" si="17"/>
        <v>0</v>
      </c>
      <c r="H167" s="160"/>
      <c r="I167" s="66"/>
    </row>
    <row r="168" spans="1:9" ht="63" x14ac:dyDescent="0.25">
      <c r="A168" s="56"/>
      <c r="B168" s="347" t="s">
        <v>460</v>
      </c>
      <c r="C168" s="592">
        <f>свод!L105</f>
        <v>405.5</v>
      </c>
      <c r="D168" s="592">
        <f>свод!R105</f>
        <v>405.5</v>
      </c>
      <c r="E168" s="514">
        <f>SUM(D168/C168*100)</f>
        <v>100</v>
      </c>
      <c r="F168" s="514"/>
      <c r="G168" s="514">
        <f t="shared" si="17"/>
        <v>0</v>
      </c>
      <c r="H168" s="161"/>
      <c r="I168" s="66"/>
    </row>
    <row r="169" spans="1:9" ht="31.5" x14ac:dyDescent="0.25">
      <c r="A169" s="56"/>
      <c r="B169" s="347" t="s">
        <v>461</v>
      </c>
      <c r="C169" s="592">
        <f>свод!L106</f>
        <v>30</v>
      </c>
      <c r="D169" s="592">
        <f>свод!R106</f>
        <v>30</v>
      </c>
      <c r="E169" s="514">
        <f>SUM(D169/C169*100)</f>
        <v>100</v>
      </c>
      <c r="F169" s="514"/>
      <c r="G169" s="514">
        <f t="shared" si="17"/>
        <v>0</v>
      </c>
      <c r="H169" s="163"/>
      <c r="I169" s="66"/>
    </row>
    <row r="170" spans="1:9" x14ac:dyDescent="0.25">
      <c r="A170" s="56"/>
      <c r="B170" s="346" t="s">
        <v>804</v>
      </c>
      <c r="C170" s="593">
        <f>свод!L107</f>
        <v>50.064999999999998</v>
      </c>
      <c r="D170" s="593">
        <f>свод!R107</f>
        <v>50.064999999999998</v>
      </c>
      <c r="E170" s="512">
        <f t="shared" si="16"/>
        <v>100</v>
      </c>
      <c r="F170" s="512"/>
      <c r="G170" s="512">
        <f t="shared" si="17"/>
        <v>0</v>
      </c>
      <c r="H170" s="70"/>
      <c r="I170" s="66"/>
    </row>
    <row r="171" spans="1:9" s="139" customFormat="1" x14ac:dyDescent="0.25">
      <c r="A171" s="140"/>
      <c r="B171" s="347" t="s">
        <v>462</v>
      </c>
      <c r="C171" s="592">
        <f>свод!L108</f>
        <v>0</v>
      </c>
      <c r="D171" s="592">
        <f>свод!R108</f>
        <v>0</v>
      </c>
      <c r="E171" s="512">
        <v>0</v>
      </c>
      <c r="F171" s="514"/>
      <c r="G171" s="512">
        <f t="shared" si="17"/>
        <v>0</v>
      </c>
      <c r="H171" s="147"/>
      <c r="I171" s="145"/>
    </row>
    <row r="172" spans="1:9" s="139" customFormat="1" x14ac:dyDescent="0.25">
      <c r="A172" s="140"/>
      <c r="B172" s="348" t="s">
        <v>464</v>
      </c>
      <c r="C172" s="276">
        <f>свод!L109</f>
        <v>50.064999999999998</v>
      </c>
      <c r="D172" s="276">
        <f>свод!R109</f>
        <v>50.064999999999998</v>
      </c>
      <c r="E172" s="512">
        <f t="shared" si="16"/>
        <v>100</v>
      </c>
      <c r="F172" s="524"/>
      <c r="G172" s="512">
        <f t="shared" si="17"/>
        <v>0</v>
      </c>
      <c r="H172" s="162"/>
      <c r="I172" s="145"/>
    </row>
    <row r="173" spans="1:9" s="139" customFormat="1" x14ac:dyDescent="0.25">
      <c r="A173" s="140"/>
      <c r="B173" s="349" t="s">
        <v>805</v>
      </c>
      <c r="C173" s="286">
        <f>свод!L110</f>
        <v>73.77</v>
      </c>
      <c r="D173" s="286">
        <f>свод!R110</f>
        <v>73.77</v>
      </c>
      <c r="E173" s="512">
        <f t="shared" si="16"/>
        <v>100</v>
      </c>
      <c r="F173" s="525"/>
      <c r="G173" s="512">
        <f t="shared" si="17"/>
        <v>0</v>
      </c>
      <c r="H173" s="147"/>
      <c r="I173" s="145"/>
    </row>
    <row r="174" spans="1:9" s="139" customFormat="1" ht="47.25" x14ac:dyDescent="0.25">
      <c r="A174" s="140"/>
      <c r="B174" s="347" t="s">
        <v>806</v>
      </c>
      <c r="C174" s="592">
        <f>свод!L111</f>
        <v>73.77</v>
      </c>
      <c r="D174" s="592">
        <f>свод!R111</f>
        <v>73.77</v>
      </c>
      <c r="E174" s="512">
        <f t="shared" si="16"/>
        <v>100</v>
      </c>
      <c r="F174" s="514"/>
      <c r="G174" s="512">
        <f t="shared" si="17"/>
        <v>0</v>
      </c>
      <c r="H174" s="147"/>
      <c r="I174" s="145"/>
    </row>
    <row r="175" spans="1:9" s="82" customFormat="1" ht="47.25" x14ac:dyDescent="0.25">
      <c r="A175" s="574">
        <v>13</v>
      </c>
      <c r="B175" s="85" t="str">
        <f>свод!B112</f>
        <v>Муниципальная программа «Развитие предпринимательства и туризма в Горном улусе на 2020-2024 годы»</v>
      </c>
      <c r="C175" s="135">
        <f>SUM(C176+C178+C182+C184)</f>
        <v>4442.3</v>
      </c>
      <c r="D175" s="135">
        <f>SUM(D176+D178+D182+D184)</f>
        <v>4164.7224200000001</v>
      </c>
      <c r="E175" s="151">
        <f>SUM(D175/C175*100)</f>
        <v>93.751489543704835</v>
      </c>
      <c r="F175" s="94">
        <f>D175/(C175/4*3)*100</f>
        <v>125.0019860582731</v>
      </c>
      <c r="G175" s="151">
        <f t="shared" ref="G175:G184" si="18">SUM(C175-D175)</f>
        <v>277.57758000000013</v>
      </c>
      <c r="H175" s="102"/>
      <c r="I175" s="88" t="s">
        <v>647</v>
      </c>
    </row>
    <row r="176" spans="1:9" x14ac:dyDescent="0.25">
      <c r="A176" s="56"/>
      <c r="B176" s="351" t="s">
        <v>541</v>
      </c>
      <c r="C176" s="595">
        <f>свод!L113</f>
        <v>692.3</v>
      </c>
      <c r="D176" s="595">
        <f>свод!R113</f>
        <v>539.22175000000004</v>
      </c>
      <c r="E176" s="595">
        <f t="shared" si="16"/>
        <v>77.888451538350438</v>
      </c>
      <c r="F176" s="595"/>
      <c r="G176" s="595">
        <f t="shared" si="18"/>
        <v>153.07824999999991</v>
      </c>
      <c r="H176" s="288"/>
      <c r="I176" s="66"/>
    </row>
    <row r="177" spans="1:9" x14ac:dyDescent="0.25">
      <c r="A177" s="56"/>
      <c r="B177" s="352" t="s">
        <v>469</v>
      </c>
      <c r="C177" s="596">
        <f>свод!L114</f>
        <v>692.3</v>
      </c>
      <c r="D177" s="596">
        <f>свод!R114</f>
        <v>539.22175000000004</v>
      </c>
      <c r="E177" s="596">
        <f t="shared" si="16"/>
        <v>77.888451538350438</v>
      </c>
      <c r="F177" s="596"/>
      <c r="G177" s="596">
        <f t="shared" si="18"/>
        <v>153.07824999999991</v>
      </c>
      <c r="H177" s="288" t="s">
        <v>1024</v>
      </c>
      <c r="I177" s="66"/>
    </row>
    <row r="178" spans="1:9" x14ac:dyDescent="0.25">
      <c r="A178" s="56"/>
      <c r="B178" s="351" t="s">
        <v>466</v>
      </c>
      <c r="C178" s="595">
        <f>свод!L115</f>
        <v>750</v>
      </c>
      <c r="D178" s="595">
        <f>свод!R115</f>
        <v>750</v>
      </c>
      <c r="E178" s="595">
        <f t="shared" si="16"/>
        <v>100</v>
      </c>
      <c r="F178" s="595"/>
      <c r="G178" s="595">
        <f t="shared" si="18"/>
        <v>0</v>
      </c>
      <c r="H178" s="324"/>
      <c r="I178" s="66"/>
    </row>
    <row r="179" spans="1:9" ht="31.5" hidden="1" x14ac:dyDescent="0.25">
      <c r="A179" s="56"/>
      <c r="B179" s="353" t="s">
        <v>467</v>
      </c>
      <c r="C179" s="597">
        <f>свод!L116</f>
        <v>0</v>
      </c>
      <c r="D179" s="597">
        <f>свод!R116</f>
        <v>0</v>
      </c>
      <c r="E179" s="597">
        <v>0</v>
      </c>
      <c r="F179" s="597"/>
      <c r="G179" s="597">
        <f t="shared" si="18"/>
        <v>0</v>
      </c>
      <c r="H179" s="277"/>
      <c r="I179" s="66"/>
    </row>
    <row r="180" spans="1:9" ht="31.5" hidden="1" x14ac:dyDescent="0.25">
      <c r="A180" s="56"/>
      <c r="B180" s="353" t="s">
        <v>468</v>
      </c>
      <c r="C180" s="597">
        <f>свод!L117</f>
        <v>0</v>
      </c>
      <c r="D180" s="597">
        <f>свод!R117</f>
        <v>0</v>
      </c>
      <c r="E180" s="597"/>
      <c r="F180" s="597"/>
      <c r="G180" s="597">
        <f t="shared" si="18"/>
        <v>0</v>
      </c>
      <c r="H180" s="277"/>
      <c r="I180" s="66"/>
    </row>
    <row r="181" spans="1:9" s="139" customFormat="1" ht="47.25" x14ac:dyDescent="0.25">
      <c r="A181" s="140"/>
      <c r="B181" s="353" t="s">
        <v>785</v>
      </c>
      <c r="C181" s="597">
        <f>свод!L118</f>
        <v>750</v>
      </c>
      <c r="D181" s="597">
        <f>свод!R118</f>
        <v>750</v>
      </c>
      <c r="E181" s="597">
        <f t="shared" si="16"/>
        <v>100</v>
      </c>
      <c r="F181" s="597"/>
      <c r="G181" s="597">
        <f t="shared" si="18"/>
        <v>0</v>
      </c>
      <c r="H181" s="277"/>
      <c r="I181" s="145"/>
    </row>
    <row r="182" spans="1:9" s="139" customFormat="1" x14ac:dyDescent="0.25">
      <c r="A182" s="140"/>
      <c r="B182" s="354" t="s">
        <v>787</v>
      </c>
      <c r="C182" s="598">
        <f>свод!L119</f>
        <v>2700</v>
      </c>
      <c r="D182" s="598">
        <f>свод!R119</f>
        <v>2700</v>
      </c>
      <c r="E182" s="598">
        <f t="shared" si="16"/>
        <v>100</v>
      </c>
      <c r="F182" s="598"/>
      <c r="G182" s="598">
        <f t="shared" si="18"/>
        <v>0</v>
      </c>
      <c r="H182" s="277"/>
      <c r="I182" s="145"/>
    </row>
    <row r="183" spans="1:9" s="139" customFormat="1" ht="31.5" x14ac:dyDescent="0.25">
      <c r="A183" s="140"/>
      <c r="B183" s="353" t="s">
        <v>786</v>
      </c>
      <c r="C183" s="597">
        <f>свод!L120</f>
        <v>2700</v>
      </c>
      <c r="D183" s="597">
        <f>свод!R120</f>
        <v>2700</v>
      </c>
      <c r="E183" s="597">
        <f t="shared" si="16"/>
        <v>100</v>
      </c>
      <c r="F183" s="597"/>
      <c r="G183" s="597">
        <f t="shared" si="18"/>
        <v>0</v>
      </c>
      <c r="H183" s="277"/>
      <c r="I183" s="145"/>
    </row>
    <row r="184" spans="1:9" s="139" customFormat="1" ht="31.5" x14ac:dyDescent="0.25">
      <c r="A184" s="140"/>
      <c r="B184" s="354" t="s">
        <v>788</v>
      </c>
      <c r="C184" s="598">
        <f>свод!L121</f>
        <v>300</v>
      </c>
      <c r="D184" s="598">
        <f>свод!R121</f>
        <v>175.50067000000001</v>
      </c>
      <c r="E184" s="598">
        <f t="shared" si="16"/>
        <v>58.500223333333338</v>
      </c>
      <c r="F184" s="598"/>
      <c r="G184" s="598">
        <f t="shared" si="18"/>
        <v>124.49932999999999</v>
      </c>
      <c r="H184" s="277" t="s">
        <v>1023</v>
      </c>
      <c r="I184" s="145"/>
    </row>
    <row r="185" spans="1:9" s="82" customFormat="1" ht="47.25" x14ac:dyDescent="0.25">
      <c r="A185" s="574">
        <v>12</v>
      </c>
      <c r="B185" s="79" t="str">
        <f>свод!B334</f>
        <v>Муниципальная программа «Создание условий для духовно-культурного развития граждан  Горного улуса  на 2020 - 2024 годы»</v>
      </c>
      <c r="C185" s="151">
        <f>C186+C191+C200+C208+C209+C210</f>
        <v>62355.279589999998</v>
      </c>
      <c r="D185" s="151">
        <f>D186+D191+D200+D208+D209+D210</f>
        <v>61995.066599999998</v>
      </c>
      <c r="E185" s="93">
        <f>D185*100/C185</f>
        <v>99.422321586289925</v>
      </c>
      <c r="F185" s="94">
        <f>D185/(C185/4*3)*100</f>
        <v>132.56309544838655</v>
      </c>
      <c r="G185" s="93">
        <f>C185-D185</f>
        <v>360.21298999999999</v>
      </c>
      <c r="H185" s="102"/>
      <c r="I185" s="88" t="s">
        <v>648</v>
      </c>
    </row>
    <row r="186" spans="1:9" x14ac:dyDescent="0.25">
      <c r="A186" s="56"/>
      <c r="B186" s="351" t="s">
        <v>456</v>
      </c>
      <c r="C186" s="625">
        <f>свод!L335</f>
        <v>7225.64</v>
      </c>
      <c r="D186" s="625">
        <f>свод!R335</f>
        <v>6905.4265999999998</v>
      </c>
      <c r="E186" s="355">
        <f t="shared" ref="E186:E192" si="19">D186*100/C186</f>
        <v>95.568373182167946</v>
      </c>
      <c r="F186" s="355"/>
      <c r="G186" s="355">
        <f t="shared" ref="G186:G191" si="20">C186-D186</f>
        <v>320.21340000000055</v>
      </c>
      <c r="H186" s="356"/>
      <c r="I186" s="69"/>
    </row>
    <row r="187" spans="1:9" x14ac:dyDescent="0.25">
      <c r="A187" s="56"/>
      <c r="B187" s="357" t="s">
        <v>605</v>
      </c>
      <c r="C187" s="626">
        <f>свод!L336</f>
        <v>7165.64</v>
      </c>
      <c r="D187" s="626">
        <f>свод!R336</f>
        <v>6845.4265999999998</v>
      </c>
      <c r="E187" s="358">
        <f t="shared" si="19"/>
        <v>95.531265874367122</v>
      </c>
      <c r="F187" s="358"/>
      <c r="G187" s="358">
        <f t="shared" si="20"/>
        <v>320.21340000000055</v>
      </c>
      <c r="H187" s="356" t="s">
        <v>1049</v>
      </c>
      <c r="I187" s="69"/>
    </row>
    <row r="188" spans="1:9" x14ac:dyDescent="0.25">
      <c r="A188" s="56"/>
      <c r="B188" s="357" t="s">
        <v>606</v>
      </c>
      <c r="C188" s="626">
        <f>свод!L337</f>
        <v>60</v>
      </c>
      <c r="D188" s="626">
        <f>свод!R337</f>
        <v>60</v>
      </c>
      <c r="E188" s="358">
        <f t="shared" si="19"/>
        <v>100</v>
      </c>
      <c r="F188" s="358"/>
      <c r="G188" s="358">
        <f t="shared" si="20"/>
        <v>0</v>
      </c>
      <c r="H188" s="356"/>
      <c r="I188" s="69"/>
    </row>
    <row r="189" spans="1:9" ht="31.5" x14ac:dyDescent="0.25">
      <c r="A189" s="56"/>
      <c r="B189" s="359" t="s">
        <v>607</v>
      </c>
      <c r="C189" s="627">
        <f>свод!L338</f>
        <v>60</v>
      </c>
      <c r="D189" s="627">
        <f>свод!R338</f>
        <v>60</v>
      </c>
      <c r="E189" s="360">
        <f t="shared" si="19"/>
        <v>100</v>
      </c>
      <c r="F189" s="360"/>
      <c r="G189" s="360">
        <f t="shared" si="20"/>
        <v>0</v>
      </c>
      <c r="H189" s="17"/>
      <c r="I189" s="69"/>
    </row>
    <row r="190" spans="1:9" hidden="1" x14ac:dyDescent="0.25">
      <c r="A190" s="56"/>
      <c r="B190" s="359" t="s">
        <v>606</v>
      </c>
      <c r="C190" s="627">
        <f>свод!L339</f>
        <v>0</v>
      </c>
      <c r="D190" s="627">
        <f>свод!R339</f>
        <v>0</v>
      </c>
      <c r="E190" s="360" t="e">
        <f t="shared" si="19"/>
        <v>#DIV/0!</v>
      </c>
      <c r="F190" s="360"/>
      <c r="G190" s="360">
        <f t="shared" si="20"/>
        <v>0</v>
      </c>
      <c r="H190" s="17"/>
      <c r="I190" s="69"/>
    </row>
    <row r="191" spans="1:9" ht="31.5" x14ac:dyDescent="0.25">
      <c r="A191" s="56"/>
      <c r="B191" s="351" t="s">
        <v>609</v>
      </c>
      <c r="C191" s="625">
        <f>свод!L340</f>
        <v>13662.17959</v>
      </c>
      <c r="D191" s="625">
        <f>свод!R340</f>
        <v>13662.18</v>
      </c>
      <c r="E191" s="355">
        <f t="shared" si="19"/>
        <v>100.00000300098529</v>
      </c>
      <c r="F191" s="355"/>
      <c r="G191" s="355">
        <f t="shared" si="20"/>
        <v>-4.1000000055646524E-4</v>
      </c>
      <c r="H191" s="17"/>
      <c r="I191" s="69"/>
    </row>
    <row r="192" spans="1:9" ht="31.5" x14ac:dyDescent="0.25">
      <c r="A192" s="56"/>
      <c r="B192" s="357" t="s">
        <v>610</v>
      </c>
      <c r="C192" s="626">
        <f>свод!L341</f>
        <v>9425.4916400000002</v>
      </c>
      <c r="D192" s="626">
        <f>свод!R341</f>
        <v>9425.4900000000016</v>
      </c>
      <c r="E192" s="358">
        <f t="shared" si="19"/>
        <v>99.999982600377123</v>
      </c>
      <c r="F192" s="358"/>
      <c r="G192" s="358">
        <f t="shared" ref="G192:G203" si="21">C192-D192</f>
        <v>1.6399999985878821E-3</v>
      </c>
      <c r="H192" s="361"/>
      <c r="I192" s="69"/>
    </row>
    <row r="193" spans="1:9" ht="31.5" x14ac:dyDescent="0.25">
      <c r="A193" s="56"/>
      <c r="B193" s="352" t="s">
        <v>611</v>
      </c>
      <c r="C193" s="628">
        <f>свод!L342</f>
        <v>8917.5416399999995</v>
      </c>
      <c r="D193" s="628">
        <f>свод!R342</f>
        <v>8917.5400000000009</v>
      </c>
      <c r="E193" s="362">
        <f>D193*100/C193</f>
        <v>99.999981609281292</v>
      </c>
      <c r="F193" s="362"/>
      <c r="G193" s="362">
        <f t="shared" si="21"/>
        <v>1.6399999985878821E-3</v>
      </c>
      <c r="H193" s="363"/>
      <c r="I193" s="69"/>
    </row>
    <row r="194" spans="1:9" ht="31.5" x14ac:dyDescent="0.25">
      <c r="A194" s="56"/>
      <c r="B194" s="352" t="s">
        <v>612</v>
      </c>
      <c r="C194" s="628">
        <f>свод!L343</f>
        <v>507.95</v>
      </c>
      <c r="D194" s="628">
        <f>свод!R343</f>
        <v>507.95</v>
      </c>
      <c r="E194" s="362">
        <f t="shared" ref="E194:E204" si="22">D194*100/C194</f>
        <v>100</v>
      </c>
      <c r="F194" s="362"/>
      <c r="G194" s="362">
        <f t="shared" si="21"/>
        <v>0</v>
      </c>
      <c r="H194" s="363"/>
      <c r="I194" s="69"/>
    </row>
    <row r="195" spans="1:9" ht="31.5" x14ac:dyDescent="0.25">
      <c r="A195" s="56"/>
      <c r="B195" s="357" t="s">
        <v>649</v>
      </c>
      <c r="C195" s="626">
        <f>свод!L344</f>
        <v>35.298389999999998</v>
      </c>
      <c r="D195" s="626">
        <f>свод!R344</f>
        <v>35.299999999999997</v>
      </c>
      <c r="E195" s="358">
        <f t="shared" si="22"/>
        <v>100.00456111454375</v>
      </c>
      <c r="F195" s="358"/>
      <c r="G195" s="358">
        <f t="shared" si="21"/>
        <v>-1.6099999999994452E-3</v>
      </c>
      <c r="H195" s="17"/>
      <c r="I195" s="69"/>
    </row>
    <row r="196" spans="1:9" x14ac:dyDescent="0.25">
      <c r="A196" s="56"/>
      <c r="B196" s="357" t="s">
        <v>615</v>
      </c>
      <c r="C196" s="626">
        <f>свод!L345</f>
        <v>4201.3895599999996</v>
      </c>
      <c r="D196" s="626">
        <f>свод!R345</f>
        <v>4201.3900000000003</v>
      </c>
      <c r="E196" s="358">
        <f t="shared" si="22"/>
        <v>100.00001047272562</v>
      </c>
      <c r="F196" s="358"/>
      <c r="G196" s="358">
        <f t="shared" si="21"/>
        <v>-4.400000007080962E-4</v>
      </c>
      <c r="H196" s="356"/>
      <c r="I196" s="69"/>
    </row>
    <row r="197" spans="1:9" x14ac:dyDescent="0.25">
      <c r="A197" s="56"/>
      <c r="B197" s="359" t="s">
        <v>744</v>
      </c>
      <c r="C197" s="627">
        <f>свод!L346</f>
        <v>78.199560000000005</v>
      </c>
      <c r="D197" s="627">
        <f>свод!R346</f>
        <v>78.2</v>
      </c>
      <c r="E197" s="360">
        <f t="shared" si="22"/>
        <v>100.00056266301242</v>
      </c>
      <c r="F197" s="360"/>
      <c r="G197" s="360">
        <f t="shared" si="21"/>
        <v>-4.3999999999755346E-4</v>
      </c>
      <c r="H197" s="157"/>
      <c r="I197" s="69"/>
    </row>
    <row r="198" spans="1:9" x14ac:dyDescent="0.25">
      <c r="A198" s="56"/>
      <c r="B198" s="364" t="s">
        <v>616</v>
      </c>
      <c r="C198" s="627">
        <f>свод!L347</f>
        <v>100</v>
      </c>
      <c r="D198" s="627">
        <f>свод!R347</f>
        <v>100</v>
      </c>
      <c r="E198" s="360">
        <f t="shared" si="22"/>
        <v>100</v>
      </c>
      <c r="F198" s="360"/>
      <c r="G198" s="360">
        <f t="shared" si="21"/>
        <v>0</v>
      </c>
      <c r="H198" s="157"/>
      <c r="I198" s="69"/>
    </row>
    <row r="199" spans="1:9" x14ac:dyDescent="0.25">
      <c r="A199" s="56"/>
      <c r="B199" s="364" t="s">
        <v>748</v>
      </c>
      <c r="C199" s="627">
        <f>свод!L348</f>
        <v>4023.19</v>
      </c>
      <c r="D199" s="627">
        <f>свод!R348</f>
        <v>4023.19</v>
      </c>
      <c r="E199" s="360">
        <f t="shared" si="22"/>
        <v>100</v>
      </c>
      <c r="F199" s="360"/>
      <c r="G199" s="360">
        <f t="shared" si="21"/>
        <v>0</v>
      </c>
      <c r="H199" s="157"/>
      <c r="I199" s="69"/>
    </row>
    <row r="200" spans="1:9" x14ac:dyDescent="0.25">
      <c r="A200" s="56"/>
      <c r="B200" s="351" t="s">
        <v>617</v>
      </c>
      <c r="C200" s="625">
        <f>свод!L349</f>
        <v>38360.15</v>
      </c>
      <c r="D200" s="625">
        <f>свод!R349</f>
        <v>38360.15</v>
      </c>
      <c r="E200" s="355">
        <f t="shared" si="22"/>
        <v>100</v>
      </c>
      <c r="F200" s="355"/>
      <c r="G200" s="355">
        <f t="shared" si="21"/>
        <v>0</v>
      </c>
      <c r="H200" s="157"/>
      <c r="I200" s="69"/>
    </row>
    <row r="201" spans="1:9" ht="31.5" x14ac:dyDescent="0.25">
      <c r="A201" s="56"/>
      <c r="B201" s="357" t="s">
        <v>618</v>
      </c>
      <c r="C201" s="626">
        <f>свод!L350</f>
        <v>34896.35</v>
      </c>
      <c r="D201" s="626">
        <f>свод!R350</f>
        <v>34896.35</v>
      </c>
      <c r="E201" s="358">
        <f t="shared" si="22"/>
        <v>100</v>
      </c>
      <c r="F201" s="358"/>
      <c r="G201" s="358">
        <f t="shared" si="21"/>
        <v>0</v>
      </c>
      <c r="H201" s="157"/>
      <c r="I201" s="69"/>
    </row>
    <row r="202" spans="1:9" ht="31.5" x14ac:dyDescent="0.25">
      <c r="A202" s="56"/>
      <c r="B202" s="352" t="s">
        <v>618</v>
      </c>
      <c r="C202" s="628">
        <f>свод!L351</f>
        <v>34796.35</v>
      </c>
      <c r="D202" s="628">
        <f>свод!R351</f>
        <v>34796.35</v>
      </c>
      <c r="E202" s="362">
        <f t="shared" si="22"/>
        <v>100</v>
      </c>
      <c r="F202" s="362"/>
      <c r="G202" s="362">
        <f t="shared" si="21"/>
        <v>0</v>
      </c>
      <c r="H202" s="104"/>
      <c r="I202" s="69"/>
    </row>
    <row r="203" spans="1:9" hidden="1" x14ac:dyDescent="0.25">
      <c r="A203" s="56"/>
      <c r="B203" s="357" t="s">
        <v>741</v>
      </c>
      <c r="C203" s="626">
        <f>свод!L353</f>
        <v>0</v>
      </c>
      <c r="D203" s="626">
        <f>свод!R353</f>
        <v>0</v>
      </c>
      <c r="E203" s="358" t="e">
        <f t="shared" si="22"/>
        <v>#DIV/0!</v>
      </c>
      <c r="F203" s="358"/>
      <c r="G203" s="358">
        <f t="shared" si="21"/>
        <v>0</v>
      </c>
      <c r="H203" s="104"/>
      <c r="I203" s="69"/>
    </row>
    <row r="204" spans="1:9" ht="31.5" x14ac:dyDescent="0.25">
      <c r="A204" s="56"/>
      <c r="B204" s="365" t="s">
        <v>619</v>
      </c>
      <c r="C204" s="629">
        <f>свод!L354</f>
        <v>3463.8</v>
      </c>
      <c r="D204" s="629">
        <f>свод!R354</f>
        <v>3463.8</v>
      </c>
      <c r="E204" s="366">
        <f t="shared" si="22"/>
        <v>100</v>
      </c>
      <c r="F204" s="366"/>
      <c r="G204" s="368">
        <f>C204-D204</f>
        <v>0</v>
      </c>
      <c r="H204" s="356"/>
      <c r="I204" s="69"/>
    </row>
    <row r="205" spans="1:9" x14ac:dyDescent="0.25">
      <c r="A205" s="56"/>
      <c r="B205" s="367" t="s">
        <v>620</v>
      </c>
      <c r="C205" s="630">
        <f>свод!L355</f>
        <v>3463.8</v>
      </c>
      <c r="D205" s="630">
        <f>свод!R355</f>
        <v>3463.8</v>
      </c>
      <c r="E205" s="368">
        <f>D205*100/C205</f>
        <v>100</v>
      </c>
      <c r="F205" s="368"/>
      <c r="G205" s="368">
        <f>C205-D205</f>
        <v>0</v>
      </c>
      <c r="H205" s="157"/>
      <c r="I205" s="69"/>
    </row>
    <row r="206" spans="1:9" hidden="1" x14ac:dyDescent="0.25">
      <c r="A206" s="56"/>
      <c r="B206" s="17" t="s">
        <v>732</v>
      </c>
      <c r="C206" s="274">
        <f>свод!L356</f>
        <v>0</v>
      </c>
      <c r="D206" s="274">
        <f>свод!R356</f>
        <v>0</v>
      </c>
      <c r="E206" s="370">
        <v>0</v>
      </c>
      <c r="F206" s="370"/>
      <c r="G206" s="370">
        <f>C206-D206</f>
        <v>0</v>
      </c>
      <c r="H206" s="17"/>
      <c r="I206" s="69"/>
    </row>
    <row r="207" spans="1:9" hidden="1" x14ac:dyDescent="0.25">
      <c r="A207" s="56"/>
      <c r="B207" s="365" t="s">
        <v>621</v>
      </c>
      <c r="C207" s="629">
        <f>свод!L357</f>
        <v>0</v>
      </c>
      <c r="D207" s="629">
        <f>свод!R357</f>
        <v>0</v>
      </c>
      <c r="E207" s="366" t="e">
        <f>D207*100/C207</f>
        <v>#DIV/0!</v>
      </c>
      <c r="F207" s="366"/>
      <c r="G207" s="366">
        <f t="shared" ref="G207:G215" si="23">C207-D207</f>
        <v>0</v>
      </c>
      <c r="H207" s="17"/>
      <c r="I207" s="69"/>
    </row>
    <row r="208" spans="1:9" hidden="1" x14ac:dyDescent="0.25">
      <c r="A208" s="56"/>
      <c r="B208" s="351" t="s">
        <v>317</v>
      </c>
      <c r="C208" s="625">
        <f>свод!L358</f>
        <v>0</v>
      </c>
      <c r="D208" s="625">
        <f>свод!R358</f>
        <v>0</v>
      </c>
      <c r="E208" s="355">
        <v>0</v>
      </c>
      <c r="F208" s="355"/>
      <c r="G208" s="355">
        <f t="shared" si="23"/>
        <v>0</v>
      </c>
      <c r="H208" s="294"/>
      <c r="I208" s="69"/>
    </row>
    <row r="209" spans="1:10" ht="31.5" hidden="1" x14ac:dyDescent="0.25">
      <c r="A209" s="56"/>
      <c r="B209" s="351" t="s">
        <v>734</v>
      </c>
      <c r="C209" s="625">
        <f>свод!L359</f>
        <v>0</v>
      </c>
      <c r="D209" s="625">
        <f>свод!R359</f>
        <v>0</v>
      </c>
      <c r="E209" s="355">
        <v>0</v>
      </c>
      <c r="F209" s="355"/>
      <c r="G209" s="355">
        <f t="shared" si="23"/>
        <v>0</v>
      </c>
      <c r="H209" s="294"/>
      <c r="I209" s="69"/>
    </row>
    <row r="210" spans="1:10" ht="31.5" x14ac:dyDescent="0.25">
      <c r="A210" s="56"/>
      <c r="B210" s="351" t="s">
        <v>735</v>
      </c>
      <c r="C210" s="625">
        <f>свод!L360</f>
        <v>3107.3099999999995</v>
      </c>
      <c r="D210" s="625">
        <f>свод!R360</f>
        <v>3067.31</v>
      </c>
      <c r="E210" s="355">
        <f>D210*100/C210</f>
        <v>98.712712925327708</v>
      </c>
      <c r="F210" s="355"/>
      <c r="G210" s="355">
        <f t="shared" si="23"/>
        <v>39.999999999999545</v>
      </c>
      <c r="H210" s="363"/>
      <c r="I210" s="69"/>
    </row>
    <row r="211" spans="1:10" x14ac:dyDescent="0.25">
      <c r="A211" s="56"/>
      <c r="B211" s="371" t="s">
        <v>608</v>
      </c>
      <c r="C211" s="626">
        <f>свод!L361</f>
        <v>70</v>
      </c>
      <c r="D211" s="626">
        <f>свод!R361</f>
        <v>70</v>
      </c>
      <c r="E211" s="358">
        <v>0</v>
      </c>
      <c r="F211" s="358"/>
      <c r="G211" s="358">
        <f t="shared" si="23"/>
        <v>0</v>
      </c>
      <c r="H211" s="294"/>
      <c r="I211" s="69"/>
    </row>
    <row r="212" spans="1:10" ht="31.5" x14ac:dyDescent="0.25">
      <c r="A212" s="56"/>
      <c r="B212" s="371" t="s">
        <v>738</v>
      </c>
      <c r="C212" s="626">
        <f>свод!L362</f>
        <v>2951.8999999999996</v>
      </c>
      <c r="D212" s="626">
        <f>свод!R362</f>
        <v>2911.9</v>
      </c>
      <c r="E212" s="358">
        <v>0</v>
      </c>
      <c r="F212" s="358"/>
      <c r="G212" s="358">
        <f t="shared" si="23"/>
        <v>39.999999999999545</v>
      </c>
      <c r="H212" s="294"/>
      <c r="I212" s="69"/>
    </row>
    <row r="213" spans="1:10" x14ac:dyDescent="0.25">
      <c r="A213" s="56"/>
      <c r="B213" s="352" t="s">
        <v>613</v>
      </c>
      <c r="C213" s="628">
        <f>свод!L363</f>
        <v>2911.8999999999996</v>
      </c>
      <c r="D213" s="628">
        <f>свод!R363</f>
        <v>2911.9</v>
      </c>
      <c r="E213" s="362">
        <v>0</v>
      </c>
      <c r="F213" s="362"/>
      <c r="G213" s="362">
        <f t="shared" si="23"/>
        <v>0</v>
      </c>
      <c r="H213" s="294"/>
      <c r="I213" s="69"/>
    </row>
    <row r="214" spans="1:10" x14ac:dyDescent="0.25">
      <c r="A214" s="56"/>
      <c r="B214" s="352" t="s">
        <v>614</v>
      </c>
      <c r="C214" s="628">
        <f>свод!L364</f>
        <v>40</v>
      </c>
      <c r="D214" s="628">
        <f>свод!R364</f>
        <v>0</v>
      </c>
      <c r="E214" s="362"/>
      <c r="F214" s="362"/>
      <c r="G214" s="362">
        <f t="shared" si="23"/>
        <v>40</v>
      </c>
      <c r="H214" s="17" t="s">
        <v>884</v>
      </c>
      <c r="I214" s="69"/>
    </row>
    <row r="215" spans="1:10" ht="31.5" x14ac:dyDescent="0.25">
      <c r="A215" s="56"/>
      <c r="B215" s="371" t="s">
        <v>740</v>
      </c>
      <c r="C215" s="626">
        <f>свод!L365</f>
        <v>85.41</v>
      </c>
      <c r="D215" s="626">
        <f>свод!R365</f>
        <v>85.41</v>
      </c>
      <c r="E215" s="358">
        <f>D215*100/C215</f>
        <v>100</v>
      </c>
      <c r="F215" s="358"/>
      <c r="G215" s="358">
        <f t="shared" si="23"/>
        <v>0</v>
      </c>
      <c r="H215" s="17"/>
      <c r="I215" s="69"/>
    </row>
    <row r="216" spans="1:10" s="109" customFormat="1" ht="47.25" x14ac:dyDescent="0.25">
      <c r="A216" s="551">
        <v>13</v>
      </c>
      <c r="B216" s="372" t="str">
        <f>свод!B186</f>
        <v xml:space="preserve">Муниципальная программа «Развитие сельскохозяйственного производства Горного улуса РС(Я) на 2021-2025 годы» </v>
      </c>
      <c r="C216" s="558">
        <f>C217+C221+C224+C231+C233+C238+C254+C228</f>
        <v>10591.038129999999</v>
      </c>
      <c r="D216" s="558">
        <f>D217+D221+D224+D231+D233+D238+D254+D228</f>
        <v>10540.538129999999</v>
      </c>
      <c r="E216" s="329">
        <f>SUM(D216/C216*100)</f>
        <v>99.523181775193919</v>
      </c>
      <c r="F216" s="373">
        <f>D216/(C216/4*4)*100</f>
        <v>99.523181775193919</v>
      </c>
      <c r="G216" s="374">
        <f>C216-D216</f>
        <v>50.5</v>
      </c>
      <c r="H216" s="375"/>
      <c r="I216" s="282" t="s">
        <v>650</v>
      </c>
      <c r="J216" s="166"/>
    </row>
    <row r="217" spans="1:10" s="530" customFormat="1" x14ac:dyDescent="0.25">
      <c r="A217" s="325"/>
      <c r="B217" s="376" t="s">
        <v>508</v>
      </c>
      <c r="C217" s="559">
        <f>C218</f>
        <v>2192.16536</v>
      </c>
      <c r="D217" s="559">
        <f>D218</f>
        <v>2192.16536</v>
      </c>
      <c r="E217" s="527">
        <f t="shared" ref="E217:E256" si="24">SUM(D217/C217*100)</f>
        <v>100</v>
      </c>
      <c r="F217" s="527"/>
      <c r="G217" s="527">
        <f t="shared" ref="G217:G253" si="25">C217-D217</f>
        <v>0</v>
      </c>
      <c r="H217" s="529"/>
      <c r="I217" s="167"/>
    </row>
    <row r="218" spans="1:10" s="165" customFormat="1" x14ac:dyDescent="0.25">
      <c r="A218" s="272"/>
      <c r="B218" s="378" t="s">
        <v>509</v>
      </c>
      <c r="C218" s="553">
        <f>SUM(C219:C220)</f>
        <v>2192.16536</v>
      </c>
      <c r="D218" s="553">
        <f>SUM(D219:D220)</f>
        <v>2192.16536</v>
      </c>
      <c r="E218" s="531">
        <f t="shared" si="24"/>
        <v>100</v>
      </c>
      <c r="F218" s="531"/>
      <c r="G218" s="528">
        <f t="shared" si="25"/>
        <v>0</v>
      </c>
      <c r="H218" s="377"/>
      <c r="I218" s="167"/>
    </row>
    <row r="219" spans="1:10" s="165" customFormat="1" ht="63" x14ac:dyDescent="0.25">
      <c r="A219" s="272"/>
      <c r="B219" s="379" t="s">
        <v>511</v>
      </c>
      <c r="C219" s="552">
        <v>1500</v>
      </c>
      <c r="D219" s="552">
        <v>1500</v>
      </c>
      <c r="E219" s="528">
        <f t="shared" si="24"/>
        <v>100</v>
      </c>
      <c r="F219" s="528"/>
      <c r="G219" s="528">
        <f t="shared" si="25"/>
        <v>0</v>
      </c>
      <c r="H219" s="324" t="s">
        <v>969</v>
      </c>
      <c r="I219" s="167"/>
    </row>
    <row r="220" spans="1:10" s="165" customFormat="1" ht="47.25" x14ac:dyDescent="0.25">
      <c r="A220" s="272"/>
      <c r="B220" s="380" t="s">
        <v>524</v>
      </c>
      <c r="C220" s="552">
        <f>свод!L191</f>
        <v>692.16535999999996</v>
      </c>
      <c r="D220" s="552">
        <f>свод!R191</f>
        <v>692.16535999999996</v>
      </c>
      <c r="E220" s="528">
        <f>SUM(D220/C220*100)</f>
        <v>100</v>
      </c>
      <c r="F220" s="528"/>
      <c r="G220" s="528">
        <f t="shared" si="25"/>
        <v>0</v>
      </c>
      <c r="H220" s="324" t="s">
        <v>970</v>
      </c>
      <c r="I220" s="167"/>
    </row>
    <row r="221" spans="1:10" s="530" customFormat="1" x14ac:dyDescent="0.25">
      <c r="A221" s="325"/>
      <c r="B221" s="381" t="s">
        <v>513</v>
      </c>
      <c r="C221" s="559">
        <f>C223+C222</f>
        <v>261.85250000000002</v>
      </c>
      <c r="D221" s="559">
        <f>D223+D222</f>
        <v>261.85250000000002</v>
      </c>
      <c r="E221" s="527">
        <f t="shared" si="24"/>
        <v>100</v>
      </c>
      <c r="F221" s="527"/>
      <c r="G221" s="527">
        <f t="shared" si="25"/>
        <v>0</v>
      </c>
      <c r="H221" s="529"/>
      <c r="I221" s="167"/>
    </row>
    <row r="222" spans="1:10" s="165" customFormat="1" x14ac:dyDescent="0.25">
      <c r="A222" s="272"/>
      <c r="B222" s="380" t="s">
        <v>972</v>
      </c>
      <c r="C222" s="552">
        <f>свод!L195</f>
        <v>61.852499999999999</v>
      </c>
      <c r="D222" s="552">
        <f>свод!R195</f>
        <v>61.852499999999999</v>
      </c>
      <c r="E222" s="528">
        <f t="shared" si="24"/>
        <v>100</v>
      </c>
      <c r="F222" s="528"/>
      <c r="G222" s="528"/>
      <c r="H222" s="377"/>
      <c r="I222" s="563"/>
    </row>
    <row r="223" spans="1:10" s="165" customFormat="1" x14ac:dyDescent="0.25">
      <c r="A223" s="272"/>
      <c r="B223" s="380" t="str">
        <f>свод!B196</f>
        <v>Партикабль для ипподрома</v>
      </c>
      <c r="C223" s="552">
        <f>свод!L196</f>
        <v>200</v>
      </c>
      <c r="D223" s="552">
        <f>свод!R196</f>
        <v>200</v>
      </c>
      <c r="E223" s="528">
        <f t="shared" si="24"/>
        <v>100</v>
      </c>
      <c r="F223" s="528"/>
      <c r="G223" s="528">
        <f t="shared" si="25"/>
        <v>0</v>
      </c>
      <c r="H223" s="377"/>
      <c r="I223" s="167"/>
    </row>
    <row r="224" spans="1:10" s="530" customFormat="1" x14ac:dyDescent="0.25">
      <c r="A224" s="325"/>
      <c r="B224" s="381" t="s">
        <v>518</v>
      </c>
      <c r="C224" s="559">
        <f>C225+C226+C227</f>
        <v>500</v>
      </c>
      <c r="D224" s="559">
        <f>D225+D226+D227</f>
        <v>500</v>
      </c>
      <c r="E224" s="527">
        <f t="shared" si="24"/>
        <v>100</v>
      </c>
      <c r="F224" s="527"/>
      <c r="G224" s="527">
        <f t="shared" si="25"/>
        <v>0</v>
      </c>
      <c r="H224" s="529"/>
      <c r="I224" s="167"/>
    </row>
    <row r="225" spans="1:9" s="165" customFormat="1" ht="19.5" hidden="1" customHeight="1" x14ac:dyDescent="0.25">
      <c r="A225" s="272"/>
      <c r="B225" s="380" t="s">
        <v>519</v>
      </c>
      <c r="C225" s="559">
        <v>0</v>
      </c>
      <c r="D225" s="559">
        <v>0</v>
      </c>
      <c r="E225" s="527">
        <v>0</v>
      </c>
      <c r="F225" s="528"/>
      <c r="G225" s="528">
        <f t="shared" si="25"/>
        <v>0</v>
      </c>
      <c r="H225" s="377"/>
      <c r="I225" s="167"/>
    </row>
    <row r="226" spans="1:9" s="165" customFormat="1" ht="31.5" hidden="1" x14ac:dyDescent="0.25">
      <c r="A226" s="272"/>
      <c r="B226" s="380" t="s">
        <v>520</v>
      </c>
      <c r="C226" s="559">
        <v>0</v>
      </c>
      <c r="D226" s="559">
        <v>0</v>
      </c>
      <c r="E226" s="527">
        <v>0</v>
      </c>
      <c r="F226" s="528"/>
      <c r="G226" s="528">
        <f t="shared" si="25"/>
        <v>0</v>
      </c>
      <c r="H226" s="377"/>
      <c r="I226" s="167"/>
    </row>
    <row r="227" spans="1:9" s="165" customFormat="1" ht="31.5" x14ac:dyDescent="0.25">
      <c r="A227" s="272"/>
      <c r="B227" s="380" t="s">
        <v>522</v>
      </c>
      <c r="C227" s="552">
        <f>свод!L204</f>
        <v>500</v>
      </c>
      <c r="D227" s="552">
        <f>свод!R204</f>
        <v>500</v>
      </c>
      <c r="E227" s="528">
        <f t="shared" si="24"/>
        <v>100</v>
      </c>
      <c r="F227" s="528"/>
      <c r="G227" s="528">
        <f t="shared" si="25"/>
        <v>0</v>
      </c>
      <c r="H227" s="377" t="s">
        <v>976</v>
      </c>
      <c r="I227" s="167"/>
    </row>
    <row r="228" spans="1:9" s="165" customFormat="1" ht="31.5" x14ac:dyDescent="0.25">
      <c r="A228" s="272"/>
      <c r="B228" s="526" t="s">
        <v>239</v>
      </c>
      <c r="C228" s="560">
        <f>SUM(C229:C230)</f>
        <v>1040</v>
      </c>
      <c r="D228" s="560">
        <f>SUM(D229:D230)</f>
        <v>1040</v>
      </c>
      <c r="E228" s="532">
        <f t="shared" si="24"/>
        <v>100</v>
      </c>
      <c r="F228" s="532"/>
      <c r="G228" s="532">
        <f t="shared" si="25"/>
        <v>0</v>
      </c>
      <c r="H228" s="377"/>
      <c r="I228" s="167"/>
    </row>
    <row r="229" spans="1:9" s="165" customFormat="1" ht="63" x14ac:dyDescent="0.25">
      <c r="A229" s="272"/>
      <c r="B229" s="306" t="s">
        <v>828</v>
      </c>
      <c r="C229" s="561">
        <f>свод!L206</f>
        <v>1000</v>
      </c>
      <c r="D229" s="561">
        <f>свод!R206</f>
        <v>1000</v>
      </c>
      <c r="E229" s="533">
        <f t="shared" si="24"/>
        <v>100</v>
      </c>
      <c r="F229" s="533"/>
      <c r="G229" s="383">
        <v>0</v>
      </c>
      <c r="H229" s="324" t="s">
        <v>971</v>
      </c>
      <c r="I229" s="167"/>
    </row>
    <row r="230" spans="1:9" s="165" customFormat="1" ht="47.25" customHeight="1" x14ac:dyDescent="0.25">
      <c r="A230" s="272"/>
      <c r="B230" s="306" t="s">
        <v>515</v>
      </c>
      <c r="C230" s="561">
        <f>свод!L207</f>
        <v>40</v>
      </c>
      <c r="D230" s="561">
        <f>свод!R207</f>
        <v>40</v>
      </c>
      <c r="E230" s="533">
        <f t="shared" si="24"/>
        <v>100</v>
      </c>
      <c r="F230" s="533"/>
      <c r="G230" s="533">
        <f t="shared" si="25"/>
        <v>0</v>
      </c>
      <c r="H230" s="564" t="s">
        <v>973</v>
      </c>
      <c r="I230" s="167"/>
    </row>
    <row r="231" spans="1:9" s="541" customFormat="1" ht="47.25" x14ac:dyDescent="0.25">
      <c r="A231" s="350"/>
      <c r="B231" s="381" t="s">
        <v>523</v>
      </c>
      <c r="C231" s="559">
        <f>SUM(C232)</f>
        <v>3377.29</v>
      </c>
      <c r="D231" s="559">
        <f>SUM(D232)</f>
        <v>3377.29</v>
      </c>
      <c r="E231" s="527">
        <f t="shared" si="24"/>
        <v>100</v>
      </c>
      <c r="F231" s="527"/>
      <c r="G231" s="540">
        <v>0</v>
      </c>
      <c r="H231" s="529"/>
      <c r="I231" s="167"/>
    </row>
    <row r="232" spans="1:9" s="165" customFormat="1" x14ac:dyDescent="0.25">
      <c r="A232" s="272"/>
      <c r="B232" s="306" t="s">
        <v>836</v>
      </c>
      <c r="C232" s="561">
        <f>свод!L209</f>
        <v>3377.29</v>
      </c>
      <c r="D232" s="561">
        <f>свод!R209</f>
        <v>3377.29</v>
      </c>
      <c r="E232" s="533">
        <f t="shared" si="24"/>
        <v>100</v>
      </c>
      <c r="F232" s="533"/>
      <c r="G232" s="383">
        <v>0</v>
      </c>
      <c r="H232" s="377"/>
      <c r="I232" s="167"/>
    </row>
    <row r="233" spans="1:9" s="165" customFormat="1" x14ac:dyDescent="0.25">
      <c r="A233" s="272"/>
      <c r="B233" s="381" t="s">
        <v>525</v>
      </c>
      <c r="C233" s="559">
        <f>C234+C236</f>
        <v>860</v>
      </c>
      <c r="D233" s="559">
        <f>D234+D236</f>
        <v>860</v>
      </c>
      <c r="E233" s="527">
        <f t="shared" si="24"/>
        <v>100</v>
      </c>
      <c r="F233" s="527"/>
      <c r="G233" s="527">
        <f t="shared" si="25"/>
        <v>0</v>
      </c>
      <c r="H233" s="377"/>
      <c r="I233" s="167"/>
    </row>
    <row r="234" spans="1:9" s="165" customFormat="1" x14ac:dyDescent="0.25">
      <c r="A234" s="272"/>
      <c r="B234" s="378" t="s">
        <v>526</v>
      </c>
      <c r="C234" s="553">
        <f>C235</f>
        <v>500</v>
      </c>
      <c r="D234" s="553">
        <f>D235</f>
        <v>500</v>
      </c>
      <c r="E234" s="531">
        <f t="shared" si="24"/>
        <v>100</v>
      </c>
      <c r="F234" s="531"/>
      <c r="G234" s="542">
        <v>0</v>
      </c>
      <c r="H234" s="324"/>
      <c r="I234" s="167"/>
    </row>
    <row r="235" spans="1:9" s="165" customFormat="1" ht="47.25" x14ac:dyDescent="0.25">
      <c r="A235" s="272"/>
      <c r="B235" s="380" t="s">
        <v>527</v>
      </c>
      <c r="C235" s="552">
        <v>500</v>
      </c>
      <c r="D235" s="552">
        <v>500</v>
      </c>
      <c r="E235" s="528">
        <f t="shared" si="24"/>
        <v>100</v>
      </c>
      <c r="F235" s="528"/>
      <c r="G235" s="542">
        <v>0</v>
      </c>
      <c r="H235" s="324" t="s">
        <v>974</v>
      </c>
      <c r="I235" s="167"/>
    </row>
    <row r="236" spans="1:9" s="165" customFormat="1" x14ac:dyDescent="0.25">
      <c r="A236" s="272"/>
      <c r="B236" s="378" t="s">
        <v>528</v>
      </c>
      <c r="C236" s="553">
        <f>C237</f>
        <v>360</v>
      </c>
      <c r="D236" s="553">
        <f>D237</f>
        <v>360</v>
      </c>
      <c r="E236" s="531">
        <f t="shared" si="24"/>
        <v>100</v>
      </c>
      <c r="F236" s="531"/>
      <c r="G236" s="531">
        <f t="shared" si="25"/>
        <v>0</v>
      </c>
      <c r="H236" s="377"/>
      <c r="I236" s="167"/>
    </row>
    <row r="237" spans="1:9" s="165" customFormat="1" ht="78.75" x14ac:dyDescent="0.25">
      <c r="A237" s="272"/>
      <c r="B237" s="380" t="s">
        <v>529</v>
      </c>
      <c r="C237" s="552">
        <f>свод!L214</f>
        <v>360</v>
      </c>
      <c r="D237" s="552">
        <f>свод!R214</f>
        <v>360</v>
      </c>
      <c r="E237" s="528">
        <f>SUM(D237/C237*100)</f>
        <v>100</v>
      </c>
      <c r="F237" s="528"/>
      <c r="G237" s="528">
        <f t="shared" si="25"/>
        <v>0</v>
      </c>
      <c r="H237" s="383" t="s">
        <v>975</v>
      </c>
      <c r="I237" s="167"/>
    </row>
    <row r="238" spans="1:9" s="165" customFormat="1" x14ac:dyDescent="0.25">
      <c r="A238" s="272"/>
      <c r="B238" s="381" t="s">
        <v>530</v>
      </c>
      <c r="C238" s="559">
        <f>C239+C243+C247+C251+C245</f>
        <v>1145.9821399999998</v>
      </c>
      <c r="D238" s="559">
        <f>D239+D243+D247+D251+D245</f>
        <v>1095.4821399999998</v>
      </c>
      <c r="E238" s="527">
        <f t="shared" si="24"/>
        <v>95.593299560497513</v>
      </c>
      <c r="F238" s="527"/>
      <c r="G238" s="527">
        <f t="shared" si="25"/>
        <v>50.5</v>
      </c>
      <c r="H238" s="377"/>
      <c r="I238" s="167"/>
    </row>
    <row r="239" spans="1:9" s="165" customFormat="1" x14ac:dyDescent="0.25">
      <c r="A239" s="272"/>
      <c r="B239" s="384" t="s">
        <v>532</v>
      </c>
      <c r="C239" s="554">
        <f>SUM(C240:C242)</f>
        <v>67.982140000000001</v>
      </c>
      <c r="D239" s="554">
        <f>SUM(D240:D242)</f>
        <v>67.982140000000001</v>
      </c>
      <c r="E239" s="534">
        <f t="shared" si="24"/>
        <v>100</v>
      </c>
      <c r="F239" s="534"/>
      <c r="G239" s="534">
        <f t="shared" si="25"/>
        <v>0</v>
      </c>
      <c r="H239" s="377"/>
      <c r="I239" s="167"/>
    </row>
    <row r="240" spans="1:9" s="165" customFormat="1" hidden="1" x14ac:dyDescent="0.25">
      <c r="A240" s="272"/>
      <c r="B240" s="385" t="s">
        <v>651</v>
      </c>
      <c r="C240" s="555">
        <f>свод!L231</f>
        <v>0</v>
      </c>
      <c r="D240" s="555">
        <f>свод!R231</f>
        <v>0</v>
      </c>
      <c r="E240" s="535" t="e">
        <f t="shared" si="24"/>
        <v>#DIV/0!</v>
      </c>
      <c r="F240" s="535"/>
      <c r="G240" s="535">
        <f t="shared" si="25"/>
        <v>0</v>
      </c>
      <c r="H240" s="377" t="s">
        <v>889</v>
      </c>
      <c r="I240" s="167"/>
    </row>
    <row r="241" spans="1:9" s="165" customFormat="1" ht="47.25" x14ac:dyDescent="0.25">
      <c r="A241" s="272"/>
      <c r="B241" s="385" t="s">
        <v>652</v>
      </c>
      <c r="C241" s="555">
        <f>свод!L233</f>
        <v>20</v>
      </c>
      <c r="D241" s="555">
        <f>свод!R233</f>
        <v>20</v>
      </c>
      <c r="E241" s="535">
        <f t="shared" si="24"/>
        <v>100</v>
      </c>
      <c r="F241" s="535"/>
      <c r="G241" s="535">
        <f t="shared" si="25"/>
        <v>0</v>
      </c>
      <c r="H241" s="17" t="s">
        <v>888</v>
      </c>
      <c r="I241" s="167"/>
    </row>
    <row r="242" spans="1:9" s="165" customFormat="1" x14ac:dyDescent="0.25">
      <c r="A242" s="272"/>
      <c r="B242" s="385" t="s">
        <v>653</v>
      </c>
      <c r="C242" s="555">
        <f>свод!L232</f>
        <v>47.982140000000001</v>
      </c>
      <c r="D242" s="555">
        <f>свод!R232</f>
        <v>47.982140000000001</v>
      </c>
      <c r="E242" s="535">
        <f t="shared" si="24"/>
        <v>100</v>
      </c>
      <c r="F242" s="535"/>
      <c r="G242" s="535">
        <f t="shared" si="25"/>
        <v>0</v>
      </c>
      <c r="H242" s="386"/>
      <c r="I242" s="167"/>
    </row>
    <row r="243" spans="1:9" s="165" customFormat="1" x14ac:dyDescent="0.25">
      <c r="A243" s="272"/>
      <c r="B243" s="384" t="s">
        <v>533</v>
      </c>
      <c r="C243" s="554">
        <f>C244</f>
        <v>698.8</v>
      </c>
      <c r="D243" s="554">
        <f>D244</f>
        <v>648.29999999999995</v>
      </c>
      <c r="E243" s="534">
        <f t="shared" si="24"/>
        <v>92.773325701202054</v>
      </c>
      <c r="F243" s="534"/>
      <c r="G243" s="534">
        <f t="shared" si="25"/>
        <v>50.5</v>
      </c>
      <c r="H243" s="377"/>
      <c r="I243" s="167"/>
    </row>
    <row r="244" spans="1:9" s="165" customFormat="1" x14ac:dyDescent="0.25">
      <c r="A244" s="272"/>
      <c r="B244" s="385" t="s">
        <v>534</v>
      </c>
      <c r="C244" s="555">
        <f>свод!L220</f>
        <v>698.8</v>
      </c>
      <c r="D244" s="555">
        <f>свод!R220</f>
        <v>648.29999999999995</v>
      </c>
      <c r="E244" s="535">
        <f t="shared" si="24"/>
        <v>92.773325701202054</v>
      </c>
      <c r="F244" s="535"/>
      <c r="G244" s="535">
        <f t="shared" si="25"/>
        <v>50.5</v>
      </c>
      <c r="H244" s="377"/>
      <c r="I244" s="167"/>
    </row>
    <row r="245" spans="1:9" s="165" customFormat="1" ht="31.5" x14ac:dyDescent="0.25">
      <c r="A245" s="272"/>
      <c r="B245" s="387" t="s">
        <v>830</v>
      </c>
      <c r="C245" s="555">
        <f>C246</f>
        <v>51</v>
      </c>
      <c r="D245" s="555">
        <f>D246</f>
        <v>51</v>
      </c>
      <c r="E245" s="535">
        <f t="shared" si="24"/>
        <v>100</v>
      </c>
      <c r="F245" s="535"/>
      <c r="G245" s="535">
        <f t="shared" si="25"/>
        <v>0</v>
      </c>
      <c r="H245" s="377"/>
      <c r="I245" s="167"/>
    </row>
    <row r="246" spans="1:9" s="165" customFormat="1" x14ac:dyDescent="0.25">
      <c r="A246" s="272"/>
      <c r="B246" s="290" t="s">
        <v>831</v>
      </c>
      <c r="C246" s="555">
        <f>свод!L222</f>
        <v>51</v>
      </c>
      <c r="D246" s="555">
        <f>свод!R222</f>
        <v>51</v>
      </c>
      <c r="E246" s="535">
        <f t="shared" si="24"/>
        <v>100</v>
      </c>
      <c r="F246" s="535"/>
      <c r="G246" s="535">
        <f t="shared" si="25"/>
        <v>0</v>
      </c>
      <c r="H246" s="377"/>
      <c r="I246" s="167"/>
    </row>
    <row r="247" spans="1:9" s="165" customFormat="1" x14ac:dyDescent="0.25">
      <c r="A247" s="272"/>
      <c r="B247" s="384" t="s">
        <v>535</v>
      </c>
      <c r="C247" s="554">
        <f>C249+C250+C248</f>
        <v>290.72500000000002</v>
      </c>
      <c r="D247" s="554">
        <f>D249+D250+D248</f>
        <v>290.72500000000002</v>
      </c>
      <c r="E247" s="534">
        <f t="shared" si="24"/>
        <v>100</v>
      </c>
      <c r="F247" s="534"/>
      <c r="G247" s="534">
        <f t="shared" si="25"/>
        <v>0</v>
      </c>
      <c r="H247" s="377"/>
      <c r="I247" s="167"/>
    </row>
    <row r="248" spans="1:9" s="165" customFormat="1" hidden="1" x14ac:dyDescent="0.25">
      <c r="A248" s="272"/>
      <c r="B248" s="385" t="s">
        <v>837</v>
      </c>
      <c r="C248" s="555">
        <f>свод!L224</f>
        <v>0</v>
      </c>
      <c r="D248" s="555">
        <v>0</v>
      </c>
      <c r="E248" s="534" t="e">
        <f t="shared" si="24"/>
        <v>#DIV/0!</v>
      </c>
      <c r="F248" s="535"/>
      <c r="G248" s="535">
        <f t="shared" si="25"/>
        <v>0</v>
      </c>
      <c r="H248" s="377"/>
      <c r="I248" s="167"/>
    </row>
    <row r="249" spans="1:9" s="165" customFormat="1" x14ac:dyDescent="0.25">
      <c r="A249" s="272"/>
      <c r="B249" s="385" t="s">
        <v>536</v>
      </c>
      <c r="C249" s="555">
        <f>свод!L225</f>
        <v>290.72500000000002</v>
      </c>
      <c r="D249" s="555">
        <f>свод!R225</f>
        <v>290.72500000000002</v>
      </c>
      <c r="E249" s="535">
        <f t="shared" si="24"/>
        <v>100</v>
      </c>
      <c r="F249" s="535"/>
      <c r="G249" s="535">
        <f t="shared" si="25"/>
        <v>0</v>
      </c>
      <c r="H249" s="377"/>
      <c r="I249" s="167"/>
    </row>
    <row r="250" spans="1:9" s="165" customFormat="1" hidden="1" x14ac:dyDescent="0.25">
      <c r="A250" s="272"/>
      <c r="B250" s="385" t="s">
        <v>537</v>
      </c>
      <c r="C250" s="555">
        <f>свод!L226</f>
        <v>0</v>
      </c>
      <c r="D250" s="555">
        <v>0</v>
      </c>
      <c r="E250" s="535" t="e">
        <f t="shared" si="24"/>
        <v>#DIV/0!</v>
      </c>
      <c r="F250" s="535"/>
      <c r="G250" s="535">
        <f t="shared" si="25"/>
        <v>0</v>
      </c>
      <c r="H250" s="377"/>
      <c r="I250" s="167"/>
    </row>
    <row r="251" spans="1:9" s="165" customFormat="1" x14ac:dyDescent="0.25">
      <c r="A251" s="272"/>
      <c r="B251" s="384" t="s">
        <v>538</v>
      </c>
      <c r="C251" s="554">
        <f>C252+C253</f>
        <v>37.475000000000001</v>
      </c>
      <c r="D251" s="554">
        <f>D252+D253</f>
        <v>37.475000000000001</v>
      </c>
      <c r="E251" s="534">
        <f t="shared" si="24"/>
        <v>100</v>
      </c>
      <c r="F251" s="534"/>
      <c r="G251" s="534">
        <f t="shared" si="25"/>
        <v>0</v>
      </c>
      <c r="H251" s="377"/>
      <c r="I251" s="167"/>
    </row>
    <row r="252" spans="1:9" s="165" customFormat="1" x14ac:dyDescent="0.25">
      <c r="A252" s="272"/>
      <c r="B252" s="385" t="s">
        <v>539</v>
      </c>
      <c r="C252" s="555">
        <f>свод!L228</f>
        <v>12.475</v>
      </c>
      <c r="D252" s="555">
        <f>свод!R228</f>
        <v>12.475</v>
      </c>
      <c r="E252" s="535">
        <f t="shared" si="24"/>
        <v>100</v>
      </c>
      <c r="F252" s="535"/>
      <c r="G252" s="535">
        <f t="shared" si="25"/>
        <v>0</v>
      </c>
      <c r="H252" s="377"/>
      <c r="I252" s="167"/>
    </row>
    <row r="253" spans="1:9" s="165" customFormat="1" x14ac:dyDescent="0.25">
      <c r="A253" s="272"/>
      <c r="B253" s="388" t="s">
        <v>540</v>
      </c>
      <c r="C253" s="562">
        <f>свод!L229</f>
        <v>25</v>
      </c>
      <c r="D253" s="562">
        <f>свод!R229</f>
        <v>25</v>
      </c>
      <c r="E253" s="536">
        <f t="shared" si="24"/>
        <v>100</v>
      </c>
      <c r="F253" s="536"/>
      <c r="G253" s="536">
        <f t="shared" si="25"/>
        <v>0</v>
      </c>
      <c r="H253" s="377"/>
      <c r="I253" s="167"/>
    </row>
    <row r="254" spans="1:9" s="530" customFormat="1" x14ac:dyDescent="0.25">
      <c r="A254" s="325"/>
      <c r="B254" s="284" t="s">
        <v>840</v>
      </c>
      <c r="C254" s="556">
        <f>SUM(C255:C256)</f>
        <v>1213.7481299999999</v>
      </c>
      <c r="D254" s="556">
        <f>SUM(D255:D256)</f>
        <v>1213.7481299999999</v>
      </c>
      <c r="E254" s="537">
        <f t="shared" si="24"/>
        <v>100</v>
      </c>
      <c r="F254" s="537"/>
      <c r="G254" s="539">
        <v>0</v>
      </c>
      <c r="H254" s="529"/>
      <c r="I254" s="167"/>
    </row>
    <row r="255" spans="1:9" s="165" customFormat="1" x14ac:dyDescent="0.25">
      <c r="A255" s="272"/>
      <c r="B255" s="118" t="s">
        <v>841</v>
      </c>
      <c r="C255" s="557">
        <f>свод!L235</f>
        <v>742.74812999999995</v>
      </c>
      <c r="D255" s="557">
        <f>свод!R235</f>
        <v>742.74812999999995</v>
      </c>
      <c r="E255" s="538">
        <f t="shared" si="24"/>
        <v>100</v>
      </c>
      <c r="F255" s="538"/>
      <c r="G255" s="383">
        <v>0</v>
      </c>
      <c r="H255" s="377"/>
      <c r="I255" s="167"/>
    </row>
    <row r="256" spans="1:9" s="165" customFormat="1" ht="15" customHeight="1" x14ac:dyDescent="0.25">
      <c r="A256" s="272"/>
      <c r="B256" s="118" t="s">
        <v>842</v>
      </c>
      <c r="C256" s="557">
        <f>свод!L236</f>
        <v>471</v>
      </c>
      <c r="D256" s="557">
        <f>свод!R236</f>
        <v>471</v>
      </c>
      <c r="E256" s="538">
        <f t="shared" si="24"/>
        <v>100</v>
      </c>
      <c r="F256" s="538"/>
      <c r="G256" s="383">
        <v>0</v>
      </c>
      <c r="H256" s="377"/>
      <c r="I256" s="167"/>
    </row>
    <row r="257" spans="1:9" s="82" customFormat="1" ht="31.5" x14ac:dyDescent="0.25">
      <c r="A257" s="574">
        <v>16</v>
      </c>
      <c r="B257" s="83" t="str">
        <f>свод!B24</f>
        <v>Ведомственная целевая программа "Охрана труда в МР «Горный улус» на 2020-2024годы"</v>
      </c>
      <c r="C257" s="93">
        <f>SUM(C258+C260+C263)</f>
        <v>25</v>
      </c>
      <c r="D257" s="93">
        <f>SUM(D258+D260+D263)</f>
        <v>25</v>
      </c>
      <c r="E257" s="93">
        <f t="shared" ref="E257:E271" si="26">SUM(D257/C257*100)</f>
        <v>100</v>
      </c>
      <c r="F257" s="94">
        <f>D257/(C257/4*4)*100</f>
        <v>100</v>
      </c>
      <c r="G257" s="93">
        <f t="shared" ref="G257:G266" si="27">SUM(C257-D257)</f>
        <v>0</v>
      </c>
      <c r="H257" s="90"/>
      <c r="I257" s="88" t="s">
        <v>658</v>
      </c>
    </row>
    <row r="258" spans="1:9" ht="47.25" hidden="1" x14ac:dyDescent="0.25">
      <c r="A258" s="56"/>
      <c r="B258" s="59" t="s">
        <v>417</v>
      </c>
      <c r="C258" s="95">
        <f>SUM(C259:C259)</f>
        <v>0</v>
      </c>
      <c r="D258" s="95">
        <f>SUM(D259:D259)</f>
        <v>0</v>
      </c>
      <c r="E258" s="95">
        <v>0</v>
      </c>
      <c r="F258" s="95"/>
      <c r="G258" s="96">
        <f t="shared" si="27"/>
        <v>0</v>
      </c>
      <c r="H258" s="64"/>
      <c r="I258" s="66"/>
    </row>
    <row r="259" spans="1:9" ht="35.25" hidden="1" customHeight="1" x14ac:dyDescent="0.25">
      <c r="A259" s="56"/>
      <c r="B259" s="71" t="s">
        <v>418</v>
      </c>
      <c r="C259" s="97"/>
      <c r="D259" s="97"/>
      <c r="E259" s="97">
        <v>0</v>
      </c>
      <c r="F259" s="97"/>
      <c r="G259" s="98">
        <f t="shared" si="27"/>
        <v>0</v>
      </c>
      <c r="H259" s="64"/>
      <c r="I259" s="66"/>
    </row>
    <row r="260" spans="1:9" x14ac:dyDescent="0.25">
      <c r="A260" s="56"/>
      <c r="B260" s="72" t="s">
        <v>419</v>
      </c>
      <c r="C260" s="95">
        <f>SUM(C261:C262)</f>
        <v>25</v>
      </c>
      <c r="D260" s="95">
        <f>SUM(D261:D262)</f>
        <v>25</v>
      </c>
      <c r="E260" s="95">
        <f t="shared" si="26"/>
        <v>100</v>
      </c>
      <c r="F260" s="95"/>
      <c r="G260" s="96">
        <f t="shared" si="27"/>
        <v>0</v>
      </c>
      <c r="H260" s="103"/>
      <c r="I260" s="66"/>
    </row>
    <row r="261" spans="1:9" ht="63" x14ac:dyDescent="0.25">
      <c r="A261" s="56"/>
      <c r="B261" s="65" t="s">
        <v>420</v>
      </c>
      <c r="C261" s="97">
        <v>5</v>
      </c>
      <c r="D261" s="97">
        <v>5</v>
      </c>
      <c r="E261" s="97">
        <f t="shared" si="26"/>
        <v>100</v>
      </c>
      <c r="F261" s="97"/>
      <c r="G261" s="98">
        <f t="shared" si="27"/>
        <v>0</v>
      </c>
      <c r="H261" s="64"/>
      <c r="I261" s="66"/>
    </row>
    <row r="262" spans="1:9" ht="47.25" x14ac:dyDescent="0.25">
      <c r="A262" s="56"/>
      <c r="B262" s="61" t="s">
        <v>421</v>
      </c>
      <c r="C262" s="97">
        <v>20</v>
      </c>
      <c r="D262" s="97">
        <v>20</v>
      </c>
      <c r="E262" s="97">
        <f t="shared" si="26"/>
        <v>100</v>
      </c>
      <c r="F262" s="97"/>
      <c r="G262" s="98">
        <f t="shared" si="27"/>
        <v>0</v>
      </c>
      <c r="H262" s="64"/>
      <c r="I262" s="66"/>
    </row>
    <row r="263" spans="1:9" ht="31.5" hidden="1" x14ac:dyDescent="0.25">
      <c r="A263" s="56"/>
      <c r="B263" s="60" t="s">
        <v>289</v>
      </c>
      <c r="C263" s="95">
        <f>C264</f>
        <v>0</v>
      </c>
      <c r="D263" s="95">
        <v>0</v>
      </c>
      <c r="E263" s="95"/>
      <c r="F263" s="95"/>
      <c r="G263" s="96">
        <f t="shared" si="27"/>
        <v>0</v>
      </c>
      <c r="H263" s="64"/>
      <c r="I263" s="66"/>
    </row>
    <row r="264" spans="1:9" ht="31.5" hidden="1" x14ac:dyDescent="0.25">
      <c r="A264" s="56"/>
      <c r="B264" s="62" t="s">
        <v>422</v>
      </c>
      <c r="C264" s="97"/>
      <c r="D264" s="97">
        <v>0</v>
      </c>
      <c r="E264" s="97"/>
      <c r="F264" s="97"/>
      <c r="G264" s="98">
        <f t="shared" si="27"/>
        <v>0</v>
      </c>
      <c r="H264" s="64"/>
      <c r="I264" s="66"/>
    </row>
    <row r="265" spans="1:9" s="82" customFormat="1" ht="63" x14ac:dyDescent="0.25">
      <c r="A265" s="551">
        <v>17</v>
      </c>
      <c r="B265" s="79" t="str">
        <f>свод!B36</f>
        <v>Ведомственная целевая программа «Развитие кадрового потенциала муниципальных служащих и работников органов местного самоуправления МР "Горный улус" на 2020-2024годы»</v>
      </c>
      <c r="C265" s="135">
        <f>SUM(C266:C266)</f>
        <v>192.82</v>
      </c>
      <c r="D265" s="135">
        <f>SUM(D266:D266)</f>
        <v>166.97</v>
      </c>
      <c r="E265" s="269">
        <f>SUM(D265/C265*100)</f>
        <v>86.59371434498496</v>
      </c>
      <c r="F265" s="270">
        <f>D265/(C265/4*3)*100</f>
        <v>115.45828579331328</v>
      </c>
      <c r="G265" s="269">
        <f t="shared" si="27"/>
        <v>25.849999999999994</v>
      </c>
      <c r="H265" s="271"/>
      <c r="I265" s="565" t="s">
        <v>658</v>
      </c>
    </row>
    <row r="266" spans="1:9" ht="47.25" x14ac:dyDescent="0.25">
      <c r="A266" s="272"/>
      <c r="B266" s="273" t="s">
        <v>761</v>
      </c>
      <c r="C266" s="274">
        <f>свод!L37</f>
        <v>192.82</v>
      </c>
      <c r="D266" s="275">
        <f>свод!R37</f>
        <v>166.97</v>
      </c>
      <c r="E266" s="276">
        <f>SUM(D266/C266*100)</f>
        <v>86.59371434498496</v>
      </c>
      <c r="F266" s="276"/>
      <c r="G266" s="275">
        <f t="shared" si="27"/>
        <v>25.849999999999994</v>
      </c>
      <c r="H266" s="277" t="s">
        <v>1018</v>
      </c>
      <c r="I266" s="566"/>
    </row>
    <row r="267" spans="1:9" s="283" customFormat="1" ht="63" x14ac:dyDescent="0.25">
      <c r="A267" s="551">
        <v>18</v>
      </c>
      <c r="B267" s="372" t="str">
        <f>свод!B175</f>
        <v>Ведомственная целевая программа «Повышение эффективности управления муниципальными финансами муниципального района «Горный улус» на 2020-2024 годы»</v>
      </c>
      <c r="C267" s="136">
        <f>C268+C270</f>
        <v>3468.59</v>
      </c>
      <c r="D267" s="136">
        <f>D268+D270</f>
        <v>3466.9666299999999</v>
      </c>
      <c r="E267" s="269">
        <f t="shared" si="26"/>
        <v>99.95319798534851</v>
      </c>
      <c r="F267" s="270">
        <f>D267/(C267/4*3)*100</f>
        <v>133.27093064713134</v>
      </c>
      <c r="G267" s="269">
        <f>SUM(C267-D267)</f>
        <v>1.62337000000025</v>
      </c>
      <c r="H267" s="271"/>
      <c r="I267" s="567" t="s">
        <v>659</v>
      </c>
    </row>
    <row r="268" spans="1:9" s="8" customFormat="1" ht="31.5" x14ac:dyDescent="0.25">
      <c r="A268" s="272"/>
      <c r="B268" s="339" t="s">
        <v>499</v>
      </c>
      <c r="C268" s="285">
        <f>C269</f>
        <v>2349.4</v>
      </c>
      <c r="D268" s="297">
        <f>D269</f>
        <v>2347.7766299999998</v>
      </c>
      <c r="E268" s="286">
        <f t="shared" si="26"/>
        <v>99.930902783689447</v>
      </c>
      <c r="F268" s="286"/>
      <c r="G268" s="287">
        <f>SUM(C268-D268)</f>
        <v>1.62337000000025</v>
      </c>
      <c r="H268" s="288"/>
      <c r="I268" s="568"/>
    </row>
    <row r="269" spans="1:9" s="8" customFormat="1" x14ac:dyDescent="0.25">
      <c r="A269" s="272"/>
      <c r="B269" s="324" t="s">
        <v>500</v>
      </c>
      <c r="C269" s="275">
        <f>свод!L177</f>
        <v>2349.4</v>
      </c>
      <c r="D269" s="276">
        <f>свод!R177</f>
        <v>2347.7766299999998</v>
      </c>
      <c r="E269" s="276">
        <f t="shared" si="26"/>
        <v>99.930902783689447</v>
      </c>
      <c r="F269" s="276"/>
      <c r="G269" s="275">
        <f>SUM(C269-D269)</f>
        <v>1.62337000000025</v>
      </c>
      <c r="H269" s="389" t="s">
        <v>1049</v>
      </c>
      <c r="I269" s="568"/>
    </row>
    <row r="270" spans="1:9" s="8" customFormat="1" ht="45.75" customHeight="1" x14ac:dyDescent="0.25">
      <c r="A270" s="272"/>
      <c r="B270" s="339" t="s">
        <v>501</v>
      </c>
      <c r="C270" s="285">
        <f>C271</f>
        <v>1119.19</v>
      </c>
      <c r="D270" s="297">
        <f>D271</f>
        <v>1119.19</v>
      </c>
      <c r="E270" s="286">
        <f t="shared" si="26"/>
        <v>100</v>
      </c>
      <c r="F270" s="286"/>
      <c r="G270" s="287">
        <f>SUM(C270-D270)</f>
        <v>0</v>
      </c>
      <c r="H270" s="288"/>
      <c r="I270" s="568"/>
    </row>
    <row r="271" spans="1:9" s="8" customFormat="1" ht="18" customHeight="1" x14ac:dyDescent="0.25">
      <c r="A271" s="272"/>
      <c r="B271" s="324" t="s">
        <v>502</v>
      </c>
      <c r="C271" s="275">
        <f>свод!L179</f>
        <v>1119.19</v>
      </c>
      <c r="D271" s="276">
        <f>свод!R179</f>
        <v>1119.19</v>
      </c>
      <c r="E271" s="276">
        <f t="shared" si="26"/>
        <v>100</v>
      </c>
      <c r="F271" s="276"/>
      <c r="G271" s="275">
        <f>SUM(C271-D271)</f>
        <v>0</v>
      </c>
      <c r="H271" s="389"/>
      <c r="I271" s="568"/>
    </row>
    <row r="272" spans="1:9" s="283" customFormat="1" ht="31.5" x14ac:dyDescent="0.25">
      <c r="A272" s="551">
        <v>19</v>
      </c>
      <c r="B272" s="390" t="str">
        <f>свод!B371</f>
        <v xml:space="preserve">Муниципальная программа «Энергосбережение на территории МР "Горный улус" на 2020-2024 годы» </v>
      </c>
      <c r="C272" s="391">
        <v>0</v>
      </c>
      <c r="D272" s="391">
        <v>0</v>
      </c>
      <c r="E272" s="391">
        <v>0</v>
      </c>
      <c r="F272" s="270"/>
      <c r="G272" s="391">
        <v>0</v>
      </c>
      <c r="H272" s="271" t="s">
        <v>890</v>
      </c>
      <c r="I272" s="567" t="s">
        <v>647</v>
      </c>
    </row>
    <row r="273" spans="1:9" s="283" customFormat="1" ht="31.5" x14ac:dyDescent="0.25">
      <c r="A273" s="551">
        <v>20</v>
      </c>
      <c r="B273" s="317" t="str">
        <f>свод!B366</f>
        <v>Муниципальная программа «Комплексное развитие сельских территорий в Горном улусе на 2020-2025 годы»</v>
      </c>
      <c r="C273" s="392">
        <f>C274</f>
        <v>525.03700000000003</v>
      </c>
      <c r="D273" s="392">
        <f>D274</f>
        <v>390.32501999999999</v>
      </c>
      <c r="E273" s="269">
        <f>SUM(D273/C273*100)</f>
        <v>74.342383489163609</v>
      </c>
      <c r="F273" s="270">
        <f>D273/(C273/4*3)*100</f>
        <v>99.123177985551493</v>
      </c>
      <c r="G273" s="269">
        <f t="shared" ref="G273:G336" si="28">SUM(C273-D273)</f>
        <v>134.71198000000004</v>
      </c>
      <c r="H273" s="271"/>
      <c r="I273" s="567" t="s">
        <v>647</v>
      </c>
    </row>
    <row r="274" spans="1:9" s="8" customFormat="1" ht="31.5" x14ac:dyDescent="0.25">
      <c r="A274" s="272"/>
      <c r="B274" s="382" t="s">
        <v>660</v>
      </c>
      <c r="C274" s="286">
        <f>SUM(C275)</f>
        <v>525.03700000000003</v>
      </c>
      <c r="D274" s="286">
        <f>SUM(D275)</f>
        <v>390.32501999999999</v>
      </c>
      <c r="E274" s="286">
        <f>SUM(D274/C274*100)</f>
        <v>74.342383489163609</v>
      </c>
      <c r="F274" s="286"/>
      <c r="G274" s="287">
        <f t="shared" si="28"/>
        <v>134.71198000000004</v>
      </c>
      <c r="H274" s="288"/>
      <c r="I274" s="289"/>
    </row>
    <row r="275" spans="1:9" s="8" customFormat="1" x14ac:dyDescent="0.25">
      <c r="A275" s="272"/>
      <c r="B275" s="393" t="s">
        <v>623</v>
      </c>
      <c r="C275" s="301">
        <f>SUM(C276)</f>
        <v>525.03700000000003</v>
      </c>
      <c r="D275" s="301">
        <f>SUM(D276)</f>
        <v>390.32501999999999</v>
      </c>
      <c r="E275" s="301">
        <f>SUM(D275/C275*100)</f>
        <v>74.342383489163609</v>
      </c>
      <c r="F275" s="301"/>
      <c r="G275" s="302">
        <f t="shared" si="28"/>
        <v>134.71198000000004</v>
      </c>
      <c r="H275" s="288"/>
      <c r="I275" s="289"/>
    </row>
    <row r="276" spans="1:9" s="8" customFormat="1" ht="110.25" x14ac:dyDescent="0.25">
      <c r="A276" s="272"/>
      <c r="B276" s="324" t="s">
        <v>625</v>
      </c>
      <c r="C276" s="394">
        <f>свод!L370</f>
        <v>525.03700000000003</v>
      </c>
      <c r="D276" s="394">
        <f>свод!R370</f>
        <v>390.32501999999999</v>
      </c>
      <c r="E276" s="276">
        <f>SUM(D276/C276*100)</f>
        <v>74.342383489163609</v>
      </c>
      <c r="F276" s="276"/>
      <c r="G276" s="275">
        <f t="shared" si="28"/>
        <v>134.71198000000004</v>
      </c>
      <c r="H276" s="587" t="s">
        <v>1122</v>
      </c>
      <c r="I276" s="289"/>
    </row>
    <row r="277" spans="1:9" s="82" customFormat="1" ht="47.25" x14ac:dyDescent="0.25">
      <c r="A277" s="574">
        <v>21</v>
      </c>
      <c r="B277" s="87" t="str">
        <f>свод!B237</f>
        <v>Муниципальная программа «Развитие образования муниципального района  «Горный улус» на 2020-2024 годы»</v>
      </c>
      <c r="C277" s="156">
        <f>C278+C284+C318+C336+C344+C350</f>
        <v>542653.30528999993</v>
      </c>
      <c r="D277" s="156">
        <f>D278+D284+D318+D336+D344+D350</f>
        <v>538815.95371999999</v>
      </c>
      <c r="E277" s="151">
        <f t="shared" ref="E277:E339" si="29">SUM(D277/C277*100)</f>
        <v>99.29285392116995</v>
      </c>
      <c r="F277" s="94">
        <f>D277/(C277/4*3)*100</f>
        <v>132.39047189489327</v>
      </c>
      <c r="G277" s="151">
        <f t="shared" si="28"/>
        <v>3837.3515699999407</v>
      </c>
      <c r="H277" s="105"/>
      <c r="I277" s="88" t="s">
        <v>661</v>
      </c>
    </row>
    <row r="278" spans="1:9" x14ac:dyDescent="0.25">
      <c r="A278" s="56"/>
      <c r="B278" s="313" t="s">
        <v>541</v>
      </c>
      <c r="C278" s="523">
        <f>свод!L238</f>
        <v>24129.85</v>
      </c>
      <c r="D278" s="523">
        <f>свод!R238</f>
        <v>24091.792449999997</v>
      </c>
      <c r="E278" s="523">
        <f t="shared" si="29"/>
        <v>99.84228020480856</v>
      </c>
      <c r="F278" s="523"/>
      <c r="G278" s="523">
        <f t="shared" si="28"/>
        <v>38.057550000001356</v>
      </c>
      <c r="H278" s="103"/>
      <c r="I278" s="66"/>
    </row>
    <row r="279" spans="1:9" ht="47.25" x14ac:dyDescent="0.25">
      <c r="A279" s="56"/>
      <c r="B279" s="306" t="s">
        <v>542</v>
      </c>
      <c r="C279" s="370">
        <f>свод!L239</f>
        <v>23960.48</v>
      </c>
      <c r="D279" s="370">
        <f>свод!R239</f>
        <v>23922.42</v>
      </c>
      <c r="E279" s="370">
        <f t="shared" si="29"/>
        <v>99.841155102068072</v>
      </c>
      <c r="F279" s="370"/>
      <c r="G279" s="370">
        <f t="shared" si="28"/>
        <v>38.06000000000131</v>
      </c>
      <c r="H279" s="400" t="s">
        <v>1065</v>
      </c>
      <c r="I279" s="66"/>
    </row>
    <row r="280" spans="1:9" x14ac:dyDescent="0.25">
      <c r="A280" s="56"/>
      <c r="B280" s="306" t="s">
        <v>817</v>
      </c>
      <c r="C280" s="370">
        <f>свод!L240</f>
        <v>33.67</v>
      </c>
      <c r="D280" s="370">
        <f>свод!R240</f>
        <v>33.672449999999998</v>
      </c>
      <c r="E280" s="370">
        <f t="shared" si="29"/>
        <v>100.0072765072765</v>
      </c>
      <c r="F280" s="370"/>
      <c r="G280" s="370">
        <f t="shared" si="28"/>
        <v>-2.4499999999960664E-3</v>
      </c>
      <c r="H280" s="400"/>
      <c r="I280" s="66"/>
    </row>
    <row r="281" spans="1:9" ht="31.5" x14ac:dyDescent="0.25">
      <c r="A281" s="56"/>
      <c r="B281" s="306" t="s">
        <v>818</v>
      </c>
      <c r="C281" s="370">
        <f>свод!L241</f>
        <v>35.700000000000003</v>
      </c>
      <c r="D281" s="370">
        <f>свод!R241</f>
        <v>35.700000000000003</v>
      </c>
      <c r="E281" s="370">
        <f t="shared" si="29"/>
        <v>100</v>
      </c>
      <c r="F281" s="370"/>
      <c r="G281" s="370">
        <f t="shared" si="28"/>
        <v>0</v>
      </c>
      <c r="H281" s="400"/>
      <c r="I281" s="66"/>
    </row>
    <row r="282" spans="1:9" ht="31.5" hidden="1" x14ac:dyDescent="0.25">
      <c r="A282" s="56"/>
      <c r="B282" s="306" t="s">
        <v>543</v>
      </c>
      <c r="C282" s="370">
        <f>свод!L242</f>
        <v>0</v>
      </c>
      <c r="D282" s="370">
        <f>свод!R242</f>
        <v>0</v>
      </c>
      <c r="E282" s="370" t="e">
        <f t="shared" si="29"/>
        <v>#DIV/0!</v>
      </c>
      <c r="F282" s="370"/>
      <c r="G282" s="370">
        <f t="shared" si="28"/>
        <v>0</v>
      </c>
      <c r="H282" s="400"/>
      <c r="I282" s="66"/>
    </row>
    <row r="283" spans="1:9" ht="31.5" x14ac:dyDescent="0.25">
      <c r="A283" s="56"/>
      <c r="B283" s="306" t="s">
        <v>544</v>
      </c>
      <c r="C283" s="370">
        <f>свод!L243</f>
        <v>100</v>
      </c>
      <c r="D283" s="370">
        <f>свод!R243</f>
        <v>100</v>
      </c>
      <c r="E283" s="370">
        <f t="shared" si="29"/>
        <v>100</v>
      </c>
      <c r="F283" s="370"/>
      <c r="G283" s="370">
        <f t="shared" si="28"/>
        <v>0</v>
      </c>
      <c r="H283" s="400"/>
      <c r="I283" s="66"/>
    </row>
    <row r="284" spans="1:9" x14ac:dyDescent="0.25">
      <c r="A284" s="56"/>
      <c r="B284" s="313" t="s">
        <v>545</v>
      </c>
      <c r="C284" s="523">
        <f>свод!L244</f>
        <v>351782.36100000003</v>
      </c>
      <c r="D284" s="523">
        <f>свод!R244</f>
        <v>351782.35656999995</v>
      </c>
      <c r="E284" s="523">
        <f t="shared" si="29"/>
        <v>99.999998740698629</v>
      </c>
      <c r="F284" s="523"/>
      <c r="G284" s="523">
        <f t="shared" si="28"/>
        <v>4.4300000881776214E-3</v>
      </c>
      <c r="H284" s="277"/>
      <c r="I284" s="66"/>
    </row>
    <row r="285" spans="1:9" ht="47.25" x14ac:dyDescent="0.25">
      <c r="A285" s="56"/>
      <c r="B285" s="308" t="s">
        <v>546</v>
      </c>
      <c r="C285" s="543">
        <f>свод!L245</f>
        <v>154444.1</v>
      </c>
      <c r="D285" s="543">
        <f>свод!R245</f>
        <v>154444.09937000001</v>
      </c>
      <c r="E285" s="543">
        <f t="shared" si="29"/>
        <v>99.999999592085416</v>
      </c>
      <c r="F285" s="543"/>
      <c r="G285" s="543">
        <f t="shared" si="28"/>
        <v>6.2999999499879777E-4</v>
      </c>
      <c r="H285" s="277"/>
      <c r="I285" s="66"/>
    </row>
    <row r="286" spans="1:9" ht="31.5" x14ac:dyDescent="0.25">
      <c r="A286" s="56"/>
      <c r="B286" s="306" t="s">
        <v>542</v>
      </c>
      <c r="C286" s="370">
        <f>свод!L246</f>
        <v>153731.15</v>
      </c>
      <c r="D286" s="370">
        <f>свод!R246</f>
        <v>153731.15</v>
      </c>
      <c r="E286" s="370">
        <f t="shared" si="29"/>
        <v>100</v>
      </c>
      <c r="F286" s="370"/>
      <c r="G286" s="370">
        <f t="shared" si="28"/>
        <v>0</v>
      </c>
      <c r="H286" s="400"/>
      <c r="I286" s="66"/>
    </row>
    <row r="287" spans="1:9" ht="31.5" x14ac:dyDescent="0.25">
      <c r="A287" s="56"/>
      <c r="B287" s="306" t="s">
        <v>547</v>
      </c>
      <c r="C287" s="370">
        <f>свод!L247</f>
        <v>594.94000000000005</v>
      </c>
      <c r="D287" s="370">
        <f>свод!R247</f>
        <v>594.94000000000005</v>
      </c>
      <c r="E287" s="370">
        <f t="shared" si="29"/>
        <v>100</v>
      </c>
      <c r="F287" s="370"/>
      <c r="G287" s="370">
        <f t="shared" si="28"/>
        <v>0</v>
      </c>
      <c r="H287" s="400"/>
      <c r="I287" s="66"/>
    </row>
    <row r="288" spans="1:9" ht="31.5" x14ac:dyDescent="0.25">
      <c r="A288" s="56"/>
      <c r="B288" s="306" t="s">
        <v>548</v>
      </c>
      <c r="C288" s="370">
        <f>свод!L248</f>
        <v>34.909999999999997</v>
      </c>
      <c r="D288" s="370">
        <f>свод!R248</f>
        <v>34.914369999999998</v>
      </c>
      <c r="E288" s="370">
        <f t="shared" si="29"/>
        <v>100.0125179031796</v>
      </c>
      <c r="F288" s="370"/>
      <c r="G288" s="370">
        <f t="shared" si="28"/>
        <v>-4.3700000000015393E-3</v>
      </c>
      <c r="H288" s="401" t="s">
        <v>1064</v>
      </c>
      <c r="I288" s="66"/>
    </row>
    <row r="289" spans="1:9" x14ac:dyDescent="0.25">
      <c r="A289" s="56"/>
      <c r="B289" s="306" t="s">
        <v>549</v>
      </c>
      <c r="C289" s="370">
        <f>свод!L249</f>
        <v>1.66</v>
      </c>
      <c r="D289" s="370">
        <f>свод!R249</f>
        <v>1.655</v>
      </c>
      <c r="E289" s="370">
        <f t="shared" si="29"/>
        <v>99.698795180722897</v>
      </c>
      <c r="F289" s="370"/>
      <c r="G289" s="370">
        <f t="shared" si="28"/>
        <v>4.9999999999998934E-3</v>
      </c>
      <c r="H289" s="401"/>
      <c r="I289" s="66"/>
    </row>
    <row r="290" spans="1:9" ht="47.25" hidden="1" x14ac:dyDescent="0.25">
      <c r="A290" s="56"/>
      <c r="B290" s="306" t="s">
        <v>550</v>
      </c>
      <c r="C290" s="370">
        <f>свод!L250</f>
        <v>0</v>
      </c>
      <c r="D290" s="370">
        <f>свод!R250</f>
        <v>0</v>
      </c>
      <c r="E290" s="370" t="e">
        <f t="shared" si="29"/>
        <v>#DIV/0!</v>
      </c>
      <c r="F290" s="370"/>
      <c r="G290" s="370">
        <f t="shared" si="28"/>
        <v>0</v>
      </c>
      <c r="H290" s="402"/>
      <c r="I290" s="66"/>
    </row>
    <row r="291" spans="1:9" ht="47.25" x14ac:dyDescent="0.25">
      <c r="A291" s="56"/>
      <c r="B291" s="395" t="s">
        <v>819</v>
      </c>
      <c r="C291" s="544">
        <f>свод!L251</f>
        <v>9.5</v>
      </c>
      <c r="D291" s="544">
        <f>свод!R251</f>
        <v>9.5</v>
      </c>
      <c r="E291" s="544">
        <f t="shared" si="29"/>
        <v>100</v>
      </c>
      <c r="F291" s="544"/>
      <c r="G291" s="544">
        <f t="shared" si="28"/>
        <v>0</v>
      </c>
      <c r="H291" s="401" t="s">
        <v>1063</v>
      </c>
      <c r="I291" s="66"/>
    </row>
    <row r="292" spans="1:9" ht="47.25" x14ac:dyDescent="0.25">
      <c r="A292" s="56"/>
      <c r="B292" s="395" t="s">
        <v>820</v>
      </c>
      <c r="C292" s="544">
        <f>свод!L252</f>
        <v>51.94</v>
      </c>
      <c r="D292" s="544">
        <f>свод!R252</f>
        <v>51.94</v>
      </c>
      <c r="E292" s="544">
        <f t="shared" si="29"/>
        <v>100</v>
      </c>
      <c r="F292" s="544"/>
      <c r="G292" s="544">
        <f t="shared" si="28"/>
        <v>0</v>
      </c>
      <c r="H292" s="402"/>
      <c r="I292" s="66"/>
    </row>
    <row r="293" spans="1:9" ht="47.25" hidden="1" x14ac:dyDescent="0.25">
      <c r="A293" s="56"/>
      <c r="B293" s="306" t="s">
        <v>551</v>
      </c>
      <c r="C293" s="370">
        <f>свод!L253</f>
        <v>0</v>
      </c>
      <c r="D293" s="370">
        <f>свод!R253</f>
        <v>0</v>
      </c>
      <c r="E293" s="370" t="e">
        <f t="shared" si="29"/>
        <v>#DIV/0!</v>
      </c>
      <c r="F293" s="370"/>
      <c r="G293" s="370">
        <f t="shared" si="28"/>
        <v>0</v>
      </c>
      <c r="H293" s="289"/>
      <c r="I293" s="66"/>
    </row>
    <row r="294" spans="1:9" ht="63" hidden="1" x14ac:dyDescent="0.25">
      <c r="A294" s="56"/>
      <c r="B294" s="306" t="s">
        <v>552</v>
      </c>
      <c r="C294" s="370">
        <f>свод!L254</f>
        <v>0</v>
      </c>
      <c r="D294" s="370">
        <f>свод!R254</f>
        <v>0</v>
      </c>
      <c r="E294" s="370" t="e">
        <f t="shared" si="29"/>
        <v>#DIV/0!</v>
      </c>
      <c r="F294" s="370"/>
      <c r="G294" s="370">
        <f t="shared" si="28"/>
        <v>0</v>
      </c>
      <c r="H294" s="289"/>
      <c r="I294" s="66"/>
    </row>
    <row r="295" spans="1:9" ht="31.5" x14ac:dyDescent="0.25">
      <c r="A295" s="56"/>
      <c r="B295" s="306" t="s">
        <v>576</v>
      </c>
      <c r="C295" s="370">
        <f>свод!L255</f>
        <v>20</v>
      </c>
      <c r="D295" s="370">
        <f>свод!R255</f>
        <v>20</v>
      </c>
      <c r="E295" s="370">
        <f t="shared" si="29"/>
        <v>100</v>
      </c>
      <c r="F295" s="370"/>
      <c r="G295" s="370">
        <f t="shared" si="28"/>
        <v>0</v>
      </c>
      <c r="H295" s="401" t="s">
        <v>915</v>
      </c>
      <c r="I295" s="66"/>
    </row>
    <row r="296" spans="1:9" ht="63" x14ac:dyDescent="0.25">
      <c r="A296" s="56"/>
      <c r="B296" s="308" t="s">
        <v>553</v>
      </c>
      <c r="C296" s="543">
        <f>свод!L256</f>
        <v>197338.261</v>
      </c>
      <c r="D296" s="543">
        <f>свод!R256</f>
        <v>197338.25719999996</v>
      </c>
      <c r="E296" s="543">
        <f t="shared" si="29"/>
        <v>99.999998074372385</v>
      </c>
      <c r="F296" s="543"/>
      <c r="G296" s="543">
        <f t="shared" si="28"/>
        <v>3.8000000349711627E-3</v>
      </c>
      <c r="H296" s="402"/>
      <c r="I296" s="66"/>
    </row>
    <row r="297" spans="1:9" ht="31.5" x14ac:dyDescent="0.25">
      <c r="A297" s="56"/>
      <c r="B297" s="306" t="s">
        <v>542</v>
      </c>
      <c r="C297" s="370">
        <f>свод!L257</f>
        <v>192515.11</v>
      </c>
      <c r="D297" s="370">
        <f>свод!R257</f>
        <v>192515.11</v>
      </c>
      <c r="E297" s="370">
        <f t="shared" si="29"/>
        <v>100</v>
      </c>
      <c r="F297" s="370"/>
      <c r="G297" s="370">
        <f t="shared" si="28"/>
        <v>0</v>
      </c>
      <c r="H297" s="400"/>
      <c r="I297" s="66"/>
    </row>
    <row r="298" spans="1:9" ht="31.5" x14ac:dyDescent="0.25">
      <c r="A298" s="56"/>
      <c r="B298" s="306" t="s">
        <v>547</v>
      </c>
      <c r="C298" s="370">
        <f>свод!L258</f>
        <v>2205.81</v>
      </c>
      <c r="D298" s="370">
        <f>свод!R258</f>
        <v>2205.81</v>
      </c>
      <c r="E298" s="370">
        <f t="shared" si="29"/>
        <v>100</v>
      </c>
      <c r="F298" s="370"/>
      <c r="G298" s="370">
        <f t="shared" si="28"/>
        <v>0</v>
      </c>
      <c r="H298" s="400"/>
      <c r="I298" s="66"/>
    </row>
    <row r="299" spans="1:9" ht="47.25" hidden="1" x14ac:dyDescent="0.25">
      <c r="A299" s="56"/>
      <c r="B299" s="306" t="s">
        <v>550</v>
      </c>
      <c r="C299" s="370">
        <f>свод!L259</f>
        <v>0</v>
      </c>
      <c r="D299" s="370">
        <f>свод!R259</f>
        <v>0</v>
      </c>
      <c r="E299" s="370" t="e">
        <f t="shared" si="29"/>
        <v>#DIV/0!</v>
      </c>
      <c r="F299" s="370"/>
      <c r="G299" s="370">
        <f t="shared" si="28"/>
        <v>0</v>
      </c>
      <c r="H299" s="402"/>
      <c r="I299" s="66"/>
    </row>
    <row r="300" spans="1:9" ht="31.5" x14ac:dyDescent="0.25">
      <c r="A300" s="56"/>
      <c r="B300" s="306" t="s">
        <v>548</v>
      </c>
      <c r="C300" s="370">
        <f>свод!L260</f>
        <v>72.760000000000005</v>
      </c>
      <c r="D300" s="370">
        <f>свод!R260</f>
        <v>72.755399999999995</v>
      </c>
      <c r="E300" s="370">
        <f t="shared" si="29"/>
        <v>99.993677844969753</v>
      </c>
      <c r="F300" s="370"/>
      <c r="G300" s="370">
        <f t="shared" si="28"/>
        <v>4.6000000000105956E-3</v>
      </c>
      <c r="H300" s="401" t="s">
        <v>916</v>
      </c>
      <c r="I300" s="66"/>
    </row>
    <row r="301" spans="1:9" x14ac:dyDescent="0.25">
      <c r="A301" s="56"/>
      <c r="B301" s="306" t="s">
        <v>549</v>
      </c>
      <c r="C301" s="370">
        <f>свод!L261</f>
        <v>162.16</v>
      </c>
      <c r="D301" s="370">
        <f>свод!R261</f>
        <v>162.1634</v>
      </c>
      <c r="E301" s="370">
        <f t="shared" si="29"/>
        <v>100.00209669462259</v>
      </c>
      <c r="F301" s="370"/>
      <c r="G301" s="370">
        <f t="shared" si="28"/>
        <v>-3.3999999999991815E-3</v>
      </c>
      <c r="H301" s="401"/>
      <c r="I301" s="66"/>
    </row>
    <row r="302" spans="1:9" ht="47.25" x14ac:dyDescent="0.25">
      <c r="A302" s="56"/>
      <c r="B302" s="395" t="s">
        <v>819</v>
      </c>
      <c r="C302" s="544">
        <f>свод!L262</f>
        <v>11.5</v>
      </c>
      <c r="D302" s="544">
        <f>свод!R262</f>
        <v>11.5</v>
      </c>
      <c r="E302" s="544">
        <f t="shared" si="29"/>
        <v>100</v>
      </c>
      <c r="F302" s="544"/>
      <c r="G302" s="544">
        <f t="shared" si="28"/>
        <v>0</v>
      </c>
      <c r="H302" s="401" t="s">
        <v>1062</v>
      </c>
      <c r="I302" s="66"/>
    </row>
    <row r="303" spans="1:9" ht="31.5" x14ac:dyDescent="0.25">
      <c r="A303" s="56"/>
      <c r="B303" s="395" t="s">
        <v>821</v>
      </c>
      <c r="C303" s="544">
        <f>свод!L263</f>
        <v>196.22200000000001</v>
      </c>
      <c r="D303" s="544">
        <f>свод!R263</f>
        <v>196.22200000000001</v>
      </c>
      <c r="E303" s="544">
        <f t="shared" si="29"/>
        <v>100</v>
      </c>
      <c r="F303" s="544"/>
      <c r="G303" s="544">
        <f t="shared" si="28"/>
        <v>0</v>
      </c>
      <c r="H303" s="401"/>
      <c r="I303" s="66"/>
    </row>
    <row r="304" spans="1:9" ht="31.5" x14ac:dyDescent="0.25">
      <c r="A304" s="56"/>
      <c r="B304" s="395" t="s">
        <v>822</v>
      </c>
      <c r="C304" s="544">
        <f>свод!L266</f>
        <v>482.49</v>
      </c>
      <c r="D304" s="544">
        <f>свод!R266</f>
        <v>482.49</v>
      </c>
      <c r="E304" s="544">
        <f t="shared" si="29"/>
        <v>100</v>
      </c>
      <c r="F304" s="544"/>
      <c r="G304" s="544">
        <f t="shared" si="28"/>
        <v>0</v>
      </c>
      <c r="H304" s="401"/>
      <c r="I304" s="66"/>
    </row>
    <row r="305" spans="1:9" ht="47.25" x14ac:dyDescent="0.25">
      <c r="A305" s="56"/>
      <c r="B305" s="395" t="s">
        <v>820</v>
      </c>
      <c r="C305" s="544">
        <f>свод!L267</f>
        <v>55.6</v>
      </c>
      <c r="D305" s="544">
        <f>свод!R267</f>
        <v>55.6</v>
      </c>
      <c r="E305" s="544">
        <f t="shared" si="29"/>
        <v>100</v>
      </c>
      <c r="F305" s="544"/>
      <c r="G305" s="544">
        <f t="shared" si="28"/>
        <v>0</v>
      </c>
      <c r="H305" s="401"/>
      <c r="I305" s="66"/>
    </row>
    <row r="306" spans="1:9" ht="31.5" x14ac:dyDescent="0.25">
      <c r="A306" s="56"/>
      <c r="B306" s="395" t="s">
        <v>823</v>
      </c>
      <c r="C306" s="544">
        <f>свод!L268</f>
        <v>374.09</v>
      </c>
      <c r="D306" s="544">
        <f>свод!R268</f>
        <v>374.09</v>
      </c>
      <c r="E306" s="544">
        <f t="shared" si="29"/>
        <v>100</v>
      </c>
      <c r="F306" s="544"/>
      <c r="G306" s="544">
        <f t="shared" si="28"/>
        <v>0</v>
      </c>
      <c r="H306" s="402"/>
      <c r="I306" s="66"/>
    </row>
    <row r="307" spans="1:9" ht="78.75" hidden="1" x14ac:dyDescent="0.25">
      <c r="A307" s="56"/>
      <c r="B307" s="306" t="s">
        <v>554</v>
      </c>
      <c r="C307" s="370">
        <f>свод!L269</f>
        <v>0</v>
      </c>
      <c r="D307" s="370">
        <f>свод!R269</f>
        <v>0</v>
      </c>
      <c r="E307" s="370" t="e">
        <f t="shared" si="29"/>
        <v>#DIV/0!</v>
      </c>
      <c r="F307" s="370"/>
      <c r="G307" s="370">
        <f t="shared" si="28"/>
        <v>0</v>
      </c>
      <c r="H307" s="289"/>
      <c r="I307" s="66"/>
    </row>
    <row r="308" spans="1:9" hidden="1" x14ac:dyDescent="0.25">
      <c r="A308" s="56"/>
      <c r="B308" s="306" t="s">
        <v>555</v>
      </c>
      <c r="C308" s="370">
        <f>свод!L270</f>
        <v>0</v>
      </c>
      <c r="D308" s="370">
        <f>свод!R270</f>
        <v>0</v>
      </c>
      <c r="E308" s="370" t="e">
        <f t="shared" si="29"/>
        <v>#DIV/0!</v>
      </c>
      <c r="F308" s="370"/>
      <c r="G308" s="370">
        <f t="shared" si="28"/>
        <v>0</v>
      </c>
      <c r="H308" s="289"/>
      <c r="I308" s="66"/>
    </row>
    <row r="309" spans="1:9" ht="126" hidden="1" x14ac:dyDescent="0.25">
      <c r="A309" s="56"/>
      <c r="B309" s="306" t="s">
        <v>556</v>
      </c>
      <c r="C309" s="370">
        <f>свод!L271</f>
        <v>0</v>
      </c>
      <c r="D309" s="370">
        <f>свод!R271</f>
        <v>0</v>
      </c>
      <c r="E309" s="370" t="e">
        <f t="shared" si="29"/>
        <v>#DIV/0!</v>
      </c>
      <c r="F309" s="370"/>
      <c r="G309" s="370">
        <f t="shared" si="28"/>
        <v>0</v>
      </c>
      <c r="H309" s="289"/>
      <c r="I309" s="66"/>
    </row>
    <row r="310" spans="1:9" ht="63" x14ac:dyDescent="0.25">
      <c r="A310" s="56"/>
      <c r="B310" s="306" t="s">
        <v>557</v>
      </c>
      <c r="C310" s="370">
        <f>свод!L272</f>
        <v>364.11900000000003</v>
      </c>
      <c r="D310" s="370">
        <f>свод!R272</f>
        <v>364.12</v>
      </c>
      <c r="E310" s="370">
        <f t="shared" si="29"/>
        <v>100.00027463549004</v>
      </c>
      <c r="F310" s="370"/>
      <c r="G310" s="370">
        <f t="shared" si="28"/>
        <v>-9.9999999997635314E-4</v>
      </c>
      <c r="H310" s="402"/>
      <c r="I310" s="66"/>
    </row>
    <row r="311" spans="1:9" x14ac:dyDescent="0.25">
      <c r="A311" s="56"/>
      <c r="B311" s="306" t="s">
        <v>558</v>
      </c>
      <c r="C311" s="370">
        <f>свод!L273</f>
        <v>29.5</v>
      </c>
      <c r="D311" s="370">
        <f>свод!R273</f>
        <v>29.5</v>
      </c>
      <c r="E311" s="370">
        <f t="shared" si="29"/>
        <v>100</v>
      </c>
      <c r="F311" s="370"/>
      <c r="G311" s="370">
        <f t="shared" si="28"/>
        <v>0</v>
      </c>
      <c r="H311" s="402"/>
      <c r="I311" s="66"/>
    </row>
    <row r="312" spans="1:9" ht="31.5" x14ac:dyDescent="0.25">
      <c r="A312" s="56"/>
      <c r="B312" s="306" t="s">
        <v>559</v>
      </c>
      <c r="C312" s="370">
        <f>свод!L274</f>
        <v>80</v>
      </c>
      <c r="D312" s="370">
        <f>свод!R274</f>
        <v>80</v>
      </c>
      <c r="E312" s="370">
        <f t="shared" si="29"/>
        <v>100</v>
      </c>
      <c r="F312" s="370"/>
      <c r="G312" s="370">
        <f t="shared" si="28"/>
        <v>0</v>
      </c>
      <c r="H312" s="402" t="s">
        <v>917</v>
      </c>
      <c r="I312" s="66"/>
    </row>
    <row r="313" spans="1:9" ht="31.5" x14ac:dyDescent="0.25">
      <c r="A313" s="56"/>
      <c r="B313" s="306" t="s">
        <v>560</v>
      </c>
      <c r="C313" s="370">
        <f>свод!L275</f>
        <v>55</v>
      </c>
      <c r="D313" s="370">
        <f>свод!R275</f>
        <v>55</v>
      </c>
      <c r="E313" s="370">
        <f t="shared" si="29"/>
        <v>100</v>
      </c>
      <c r="F313" s="370"/>
      <c r="G313" s="370">
        <f t="shared" si="28"/>
        <v>0</v>
      </c>
      <c r="H313" s="402" t="s">
        <v>918</v>
      </c>
      <c r="I313" s="66"/>
    </row>
    <row r="314" spans="1:9" x14ac:dyDescent="0.25">
      <c r="A314" s="56"/>
      <c r="B314" s="306" t="s">
        <v>561</v>
      </c>
      <c r="C314" s="370">
        <f>свод!L276</f>
        <v>25</v>
      </c>
      <c r="D314" s="370">
        <f>свод!R276</f>
        <v>25</v>
      </c>
      <c r="E314" s="370">
        <f t="shared" si="29"/>
        <v>100</v>
      </c>
      <c r="F314" s="370"/>
      <c r="G314" s="370">
        <f t="shared" si="28"/>
        <v>0</v>
      </c>
      <c r="H314" s="402"/>
      <c r="I314" s="66"/>
    </row>
    <row r="315" spans="1:9" ht="31.5" x14ac:dyDescent="0.25">
      <c r="A315" s="56"/>
      <c r="B315" s="306" t="s">
        <v>577</v>
      </c>
      <c r="C315" s="370">
        <f>свод!L277</f>
        <v>20</v>
      </c>
      <c r="D315" s="370">
        <f>свод!R277</f>
        <v>20</v>
      </c>
      <c r="E315" s="370">
        <f t="shared" si="29"/>
        <v>100</v>
      </c>
      <c r="F315" s="370"/>
      <c r="G315" s="370">
        <f t="shared" si="28"/>
        <v>0</v>
      </c>
      <c r="H315" s="402" t="s">
        <v>919</v>
      </c>
      <c r="I315" s="66"/>
    </row>
    <row r="316" spans="1:9" ht="31.5" hidden="1" x14ac:dyDescent="0.25">
      <c r="A316" s="56"/>
      <c r="B316" s="308" t="s">
        <v>562</v>
      </c>
      <c r="C316" s="543">
        <f>свод!L278</f>
        <v>0</v>
      </c>
      <c r="D316" s="543">
        <f>свод!R278</f>
        <v>0</v>
      </c>
      <c r="E316" s="543" t="e">
        <f t="shared" si="29"/>
        <v>#DIV/0!</v>
      </c>
      <c r="F316" s="543"/>
      <c r="G316" s="543">
        <f t="shared" si="28"/>
        <v>0</v>
      </c>
      <c r="H316" s="402"/>
      <c r="I316" s="66"/>
    </row>
    <row r="317" spans="1:9" ht="31.5" hidden="1" x14ac:dyDescent="0.25">
      <c r="A317" s="56"/>
      <c r="B317" s="396" t="s">
        <v>563</v>
      </c>
      <c r="C317" s="545">
        <f>свод!L279</f>
        <v>0</v>
      </c>
      <c r="D317" s="545">
        <f>свод!R279</f>
        <v>0</v>
      </c>
      <c r="E317" s="545" t="e">
        <f t="shared" si="29"/>
        <v>#DIV/0!</v>
      </c>
      <c r="F317" s="545"/>
      <c r="G317" s="545">
        <f t="shared" si="28"/>
        <v>0</v>
      </c>
      <c r="H317" s="402"/>
      <c r="I317" s="66"/>
    </row>
    <row r="318" spans="1:9" x14ac:dyDescent="0.25">
      <c r="A318" s="56"/>
      <c r="B318" s="313" t="s">
        <v>564</v>
      </c>
      <c r="C318" s="523">
        <f>свод!L280</f>
        <v>94193.099999999991</v>
      </c>
      <c r="D318" s="523">
        <f>свод!R280</f>
        <v>94193.099999999991</v>
      </c>
      <c r="E318" s="523">
        <f t="shared" si="29"/>
        <v>100</v>
      </c>
      <c r="F318" s="523"/>
      <c r="G318" s="523">
        <f t="shared" si="28"/>
        <v>0</v>
      </c>
      <c r="H318" s="289"/>
      <c r="I318" s="66"/>
    </row>
    <row r="319" spans="1:9" ht="31.5" x14ac:dyDescent="0.25">
      <c r="A319" s="56"/>
      <c r="B319" s="308" t="s">
        <v>565</v>
      </c>
      <c r="C319" s="543">
        <f>свод!L281</f>
        <v>92937.599999999991</v>
      </c>
      <c r="D319" s="543">
        <f>свод!R281</f>
        <v>92937.599999999991</v>
      </c>
      <c r="E319" s="543">
        <f t="shared" si="29"/>
        <v>100</v>
      </c>
      <c r="F319" s="543"/>
      <c r="G319" s="543">
        <f t="shared" si="28"/>
        <v>0</v>
      </c>
      <c r="H319" s="289"/>
      <c r="I319" s="66"/>
    </row>
    <row r="320" spans="1:9" ht="31.5" x14ac:dyDescent="0.25">
      <c r="A320" s="56"/>
      <c r="B320" s="306" t="s">
        <v>542</v>
      </c>
      <c r="C320" s="370">
        <f>свод!L282</f>
        <v>92572.42</v>
      </c>
      <c r="D320" s="370">
        <f>свод!R282</f>
        <v>92572.42</v>
      </c>
      <c r="E320" s="370">
        <f t="shared" si="29"/>
        <v>100</v>
      </c>
      <c r="F320" s="370"/>
      <c r="G320" s="370">
        <f t="shared" si="28"/>
        <v>0</v>
      </c>
      <c r="H320" s="402"/>
      <c r="I320" s="66"/>
    </row>
    <row r="321" spans="1:9" ht="31.5" x14ac:dyDescent="0.25">
      <c r="A321" s="56"/>
      <c r="B321" s="306" t="s">
        <v>547</v>
      </c>
      <c r="C321" s="370">
        <f>свод!L283</f>
        <v>350.48</v>
      </c>
      <c r="D321" s="370">
        <f>свод!R283</f>
        <v>350.48</v>
      </c>
      <c r="E321" s="370">
        <f t="shared" si="29"/>
        <v>100</v>
      </c>
      <c r="F321" s="370"/>
      <c r="G321" s="370">
        <f t="shared" si="28"/>
        <v>0</v>
      </c>
      <c r="H321" s="402"/>
      <c r="I321" s="66"/>
    </row>
    <row r="322" spans="1:9" ht="47.25" hidden="1" x14ac:dyDescent="0.25">
      <c r="A322" s="56"/>
      <c r="B322" s="306" t="s">
        <v>550</v>
      </c>
      <c r="C322" s="370">
        <f>свод!L284</f>
        <v>0</v>
      </c>
      <c r="D322" s="370">
        <f>свод!R284</f>
        <v>0</v>
      </c>
      <c r="E322" s="370" t="e">
        <f t="shared" si="29"/>
        <v>#DIV/0!</v>
      </c>
      <c r="F322" s="370"/>
      <c r="G322" s="370">
        <f t="shared" si="28"/>
        <v>0</v>
      </c>
      <c r="H322" s="402"/>
      <c r="I322" s="66"/>
    </row>
    <row r="323" spans="1:9" ht="47.25" x14ac:dyDescent="0.25">
      <c r="A323" s="56"/>
      <c r="B323" s="395" t="s">
        <v>820</v>
      </c>
      <c r="C323" s="544">
        <f>свод!L285</f>
        <v>14.7</v>
      </c>
      <c r="D323" s="544">
        <f>свод!R285</f>
        <v>14.7</v>
      </c>
      <c r="E323" s="544">
        <f t="shared" si="29"/>
        <v>100</v>
      </c>
      <c r="F323" s="544"/>
      <c r="G323" s="544">
        <f t="shared" si="28"/>
        <v>0</v>
      </c>
      <c r="H323" s="402"/>
      <c r="I323" s="66"/>
    </row>
    <row r="324" spans="1:9" ht="31.5" x14ac:dyDescent="0.25">
      <c r="A324" s="56"/>
      <c r="B324" s="395" t="s">
        <v>823</v>
      </c>
      <c r="C324" s="544">
        <f>свод!L286</f>
        <v>0</v>
      </c>
      <c r="D324" s="544">
        <f>свод!R286</f>
        <v>0</v>
      </c>
      <c r="E324" s="544" t="e">
        <f t="shared" si="29"/>
        <v>#DIV/0!</v>
      </c>
      <c r="F324" s="544"/>
      <c r="G324" s="544">
        <f t="shared" si="28"/>
        <v>0</v>
      </c>
      <c r="H324" s="289"/>
      <c r="I324" s="66"/>
    </row>
    <row r="325" spans="1:9" ht="31.5" x14ac:dyDescent="0.25">
      <c r="A325" s="56"/>
      <c r="B325" s="308" t="s">
        <v>566</v>
      </c>
      <c r="C325" s="543">
        <f>свод!L287</f>
        <v>1255.5</v>
      </c>
      <c r="D325" s="543">
        <f>свод!R287</f>
        <v>1255.5</v>
      </c>
      <c r="E325" s="543">
        <f t="shared" si="29"/>
        <v>100</v>
      </c>
      <c r="F325" s="543"/>
      <c r="G325" s="543">
        <f t="shared" si="28"/>
        <v>0</v>
      </c>
      <c r="H325" s="289"/>
      <c r="I325" s="66"/>
    </row>
    <row r="326" spans="1:9" ht="31.5" x14ac:dyDescent="0.25">
      <c r="A326" s="56"/>
      <c r="B326" s="306" t="s">
        <v>567</v>
      </c>
      <c r="C326" s="370">
        <f>свод!L288</f>
        <v>80</v>
      </c>
      <c r="D326" s="370">
        <f>свод!R288</f>
        <v>80</v>
      </c>
      <c r="E326" s="370">
        <f t="shared" si="29"/>
        <v>100</v>
      </c>
      <c r="F326" s="370"/>
      <c r="G326" s="370">
        <f t="shared" si="28"/>
        <v>0</v>
      </c>
      <c r="H326" s="401"/>
      <c r="I326" s="66"/>
    </row>
    <row r="327" spans="1:9" x14ac:dyDescent="0.25">
      <c r="A327" s="56"/>
      <c r="B327" s="306" t="s">
        <v>568</v>
      </c>
      <c r="C327" s="370">
        <f>свод!L289</f>
        <v>30.5</v>
      </c>
      <c r="D327" s="370">
        <f>свод!R289</f>
        <v>30.5</v>
      </c>
      <c r="E327" s="370">
        <f t="shared" si="29"/>
        <v>100</v>
      </c>
      <c r="F327" s="370"/>
      <c r="G327" s="370">
        <f t="shared" si="28"/>
        <v>0</v>
      </c>
      <c r="H327" s="401"/>
      <c r="I327" s="66"/>
    </row>
    <row r="328" spans="1:9" x14ac:dyDescent="0.25">
      <c r="A328" s="56"/>
      <c r="B328" s="306" t="s">
        <v>569</v>
      </c>
      <c r="C328" s="370">
        <f>свод!L290</f>
        <v>70</v>
      </c>
      <c r="D328" s="370">
        <f>свод!R290</f>
        <v>70</v>
      </c>
      <c r="E328" s="370">
        <f t="shared" si="29"/>
        <v>100</v>
      </c>
      <c r="F328" s="370"/>
      <c r="G328" s="370">
        <f t="shared" si="28"/>
        <v>0</v>
      </c>
      <c r="H328" s="400"/>
      <c r="I328" s="66"/>
    </row>
    <row r="329" spans="1:9" x14ac:dyDescent="0.25">
      <c r="A329" s="56"/>
      <c r="B329" s="306" t="s">
        <v>570</v>
      </c>
      <c r="C329" s="370">
        <f>свод!L291</f>
        <v>20</v>
      </c>
      <c r="D329" s="370">
        <f>свод!R291</f>
        <v>20</v>
      </c>
      <c r="E329" s="370">
        <f t="shared" si="29"/>
        <v>100</v>
      </c>
      <c r="F329" s="370"/>
      <c r="G329" s="370">
        <f t="shared" si="28"/>
        <v>0</v>
      </c>
      <c r="H329" s="402"/>
      <c r="I329" s="66"/>
    </row>
    <row r="330" spans="1:9" ht="31.5" x14ac:dyDescent="0.25">
      <c r="A330" s="56"/>
      <c r="B330" s="306" t="s">
        <v>571</v>
      </c>
      <c r="C330" s="370">
        <f>свод!L292</f>
        <v>30</v>
      </c>
      <c r="D330" s="370">
        <f>свод!R292</f>
        <v>30</v>
      </c>
      <c r="E330" s="370">
        <f t="shared" si="29"/>
        <v>100</v>
      </c>
      <c r="F330" s="370"/>
      <c r="G330" s="370">
        <f t="shared" si="28"/>
        <v>0</v>
      </c>
      <c r="H330" s="402"/>
      <c r="I330" s="66"/>
    </row>
    <row r="331" spans="1:9" ht="47.25" x14ac:dyDescent="0.25">
      <c r="A331" s="56"/>
      <c r="B331" s="17" t="s">
        <v>572</v>
      </c>
      <c r="C331" s="370">
        <f>свод!L293</f>
        <v>200</v>
      </c>
      <c r="D331" s="370">
        <f>свод!R293</f>
        <v>200</v>
      </c>
      <c r="E331" s="370">
        <f t="shared" si="29"/>
        <v>100</v>
      </c>
      <c r="F331" s="370"/>
      <c r="G331" s="370">
        <f t="shared" si="28"/>
        <v>0</v>
      </c>
      <c r="H331" s="400"/>
      <c r="I331" s="66"/>
    </row>
    <row r="332" spans="1:9" ht="31.5" x14ac:dyDescent="0.25">
      <c r="A332" s="56"/>
      <c r="B332" s="306" t="s">
        <v>573</v>
      </c>
      <c r="C332" s="370">
        <f>свод!L294</f>
        <v>95</v>
      </c>
      <c r="D332" s="370">
        <f>свод!R294</f>
        <v>95</v>
      </c>
      <c r="E332" s="370">
        <f t="shared" si="29"/>
        <v>100</v>
      </c>
      <c r="F332" s="370"/>
      <c r="G332" s="370">
        <f t="shared" si="28"/>
        <v>0</v>
      </c>
      <c r="H332" s="400"/>
      <c r="I332" s="66"/>
    </row>
    <row r="333" spans="1:9" x14ac:dyDescent="0.25">
      <c r="A333" s="56"/>
      <c r="B333" s="306" t="s">
        <v>574</v>
      </c>
      <c r="C333" s="370">
        <f>свод!L295</f>
        <v>20</v>
      </c>
      <c r="D333" s="370">
        <f>свод!R295</f>
        <v>20</v>
      </c>
      <c r="E333" s="370">
        <f t="shared" si="29"/>
        <v>100</v>
      </c>
      <c r="F333" s="370"/>
      <c r="G333" s="370">
        <f t="shared" si="28"/>
        <v>0</v>
      </c>
      <c r="H333" s="400"/>
      <c r="I333" s="66"/>
    </row>
    <row r="334" spans="1:9" ht="31.5" x14ac:dyDescent="0.25">
      <c r="A334" s="56"/>
      <c r="B334" s="17" t="s">
        <v>575</v>
      </c>
      <c r="C334" s="370">
        <f>свод!L296</f>
        <v>60</v>
      </c>
      <c r="D334" s="370">
        <f>свод!R296</f>
        <v>60</v>
      </c>
      <c r="E334" s="370">
        <f t="shared" si="29"/>
        <v>100</v>
      </c>
      <c r="F334" s="370"/>
      <c r="G334" s="370">
        <f t="shared" si="28"/>
        <v>0</v>
      </c>
      <c r="H334" s="401"/>
      <c r="I334" s="66"/>
    </row>
    <row r="335" spans="1:9" ht="31.5" x14ac:dyDescent="0.25">
      <c r="A335" s="56"/>
      <c r="B335" s="17" t="s">
        <v>578</v>
      </c>
      <c r="C335" s="370">
        <f>свод!L297</f>
        <v>650</v>
      </c>
      <c r="D335" s="370">
        <f>свод!R297</f>
        <v>650</v>
      </c>
      <c r="E335" s="370">
        <f t="shared" si="29"/>
        <v>100</v>
      </c>
      <c r="F335" s="370"/>
      <c r="G335" s="370">
        <f t="shared" si="28"/>
        <v>0</v>
      </c>
      <c r="H335" s="312"/>
      <c r="I335" s="66"/>
    </row>
    <row r="336" spans="1:9" x14ac:dyDescent="0.25">
      <c r="A336" s="56"/>
      <c r="B336" s="313" t="s">
        <v>579</v>
      </c>
      <c r="C336" s="523">
        <f>свод!L298</f>
        <v>280</v>
      </c>
      <c r="D336" s="523">
        <f>свод!R298</f>
        <v>280</v>
      </c>
      <c r="E336" s="523">
        <f t="shared" si="29"/>
        <v>100</v>
      </c>
      <c r="F336" s="523"/>
      <c r="G336" s="523">
        <f t="shared" si="28"/>
        <v>0</v>
      </c>
      <c r="H336" s="402"/>
      <c r="I336" s="66"/>
    </row>
    <row r="337" spans="1:9" ht="31.5" x14ac:dyDescent="0.25">
      <c r="A337" s="56"/>
      <c r="B337" s="308" t="s">
        <v>580</v>
      </c>
      <c r="C337" s="543">
        <f>свод!L299</f>
        <v>280</v>
      </c>
      <c r="D337" s="543">
        <f>свод!R299</f>
        <v>280</v>
      </c>
      <c r="E337" s="543">
        <f t="shared" si="29"/>
        <v>100</v>
      </c>
      <c r="F337" s="543"/>
      <c r="G337" s="543">
        <f t="shared" ref="G337:G372" si="30">SUM(C337-D337)</f>
        <v>0</v>
      </c>
      <c r="H337" s="402"/>
      <c r="I337" s="66"/>
    </row>
    <row r="338" spans="1:9" ht="31.5" hidden="1" x14ac:dyDescent="0.25">
      <c r="A338" s="56"/>
      <c r="B338" s="306" t="s">
        <v>581</v>
      </c>
      <c r="C338" s="370">
        <f>свод!L300</f>
        <v>0</v>
      </c>
      <c r="D338" s="370">
        <f>свод!R300</f>
        <v>0</v>
      </c>
      <c r="E338" s="370">
        <v>0</v>
      </c>
      <c r="F338" s="370"/>
      <c r="G338" s="370">
        <f t="shared" si="30"/>
        <v>0</v>
      </c>
      <c r="H338" s="401"/>
      <c r="I338" s="66"/>
    </row>
    <row r="339" spans="1:9" ht="31.5" x14ac:dyDescent="0.25">
      <c r="A339" s="56"/>
      <c r="B339" s="396" t="s">
        <v>582</v>
      </c>
      <c r="C339" s="545">
        <f>свод!L301</f>
        <v>280</v>
      </c>
      <c r="D339" s="545">
        <f>свод!R301</f>
        <v>280</v>
      </c>
      <c r="E339" s="545">
        <f t="shared" si="29"/>
        <v>100</v>
      </c>
      <c r="F339" s="545"/>
      <c r="G339" s="545">
        <f t="shared" si="30"/>
        <v>0</v>
      </c>
      <c r="H339" s="401"/>
      <c r="I339" s="66"/>
    </row>
    <row r="340" spans="1:9" ht="31.5" hidden="1" x14ac:dyDescent="0.25">
      <c r="A340" s="56"/>
      <c r="B340" s="308" t="s">
        <v>583</v>
      </c>
      <c r="C340" s="543">
        <f>свод!L302</f>
        <v>0</v>
      </c>
      <c r="D340" s="543">
        <f>свод!R302</f>
        <v>0</v>
      </c>
      <c r="E340" s="370">
        <v>0</v>
      </c>
      <c r="F340" s="543"/>
      <c r="G340" s="543">
        <f t="shared" si="30"/>
        <v>0</v>
      </c>
      <c r="H340" s="402"/>
      <c r="I340" s="66"/>
    </row>
    <row r="341" spans="1:9" hidden="1" x14ac:dyDescent="0.25">
      <c r="A341" s="56"/>
      <c r="B341" s="308" t="s">
        <v>584</v>
      </c>
      <c r="C341" s="543">
        <f>свод!L303</f>
        <v>0</v>
      </c>
      <c r="D341" s="543">
        <f>свод!R303</f>
        <v>0</v>
      </c>
      <c r="E341" s="370">
        <v>0</v>
      </c>
      <c r="F341" s="543"/>
      <c r="G341" s="543">
        <f t="shared" si="30"/>
        <v>0</v>
      </c>
      <c r="H341" s="402"/>
      <c r="I341" s="66"/>
    </row>
    <row r="342" spans="1:9" hidden="1" x14ac:dyDescent="0.25">
      <c r="A342" s="56"/>
      <c r="B342" s="308" t="s">
        <v>585</v>
      </c>
      <c r="C342" s="543">
        <f>свод!L304</f>
        <v>0</v>
      </c>
      <c r="D342" s="543">
        <f>свод!R304</f>
        <v>0</v>
      </c>
      <c r="E342" s="370">
        <v>0</v>
      </c>
      <c r="F342" s="543"/>
      <c r="G342" s="543">
        <f t="shared" si="30"/>
        <v>0</v>
      </c>
      <c r="H342" s="401"/>
      <c r="I342" s="66"/>
    </row>
    <row r="343" spans="1:9" ht="63" hidden="1" x14ac:dyDescent="0.25">
      <c r="A343" s="56"/>
      <c r="B343" s="396" t="s">
        <v>586</v>
      </c>
      <c r="C343" s="545">
        <f>свод!L305</f>
        <v>0</v>
      </c>
      <c r="D343" s="545">
        <f>свод!R305</f>
        <v>0</v>
      </c>
      <c r="E343" s="370">
        <v>0</v>
      </c>
      <c r="F343" s="545"/>
      <c r="G343" s="545">
        <f t="shared" si="30"/>
        <v>0</v>
      </c>
      <c r="H343" s="402"/>
      <c r="I343" s="66"/>
    </row>
    <row r="344" spans="1:9" x14ac:dyDescent="0.25">
      <c r="A344" s="56"/>
      <c r="B344" s="313" t="s">
        <v>587</v>
      </c>
      <c r="C344" s="523">
        <f>свод!L306</f>
        <v>3214.3</v>
      </c>
      <c r="D344" s="523">
        <f>свод!R306</f>
        <v>3213.52</v>
      </c>
      <c r="E344" s="523">
        <f t="shared" ref="E344:E370" si="31">SUM(D344/C344*100)</f>
        <v>99.975733441184701</v>
      </c>
      <c r="F344" s="523"/>
      <c r="G344" s="523">
        <f t="shared" si="30"/>
        <v>0.78000000000020009</v>
      </c>
      <c r="H344" s="289"/>
      <c r="I344" s="66"/>
    </row>
    <row r="345" spans="1:9" ht="31.5" x14ac:dyDescent="0.25">
      <c r="A345" s="56"/>
      <c r="B345" s="308" t="s">
        <v>588</v>
      </c>
      <c r="C345" s="543">
        <f>свод!L307</f>
        <v>3071</v>
      </c>
      <c r="D345" s="543">
        <f>свод!R307</f>
        <v>3071</v>
      </c>
      <c r="E345" s="543">
        <f t="shared" si="31"/>
        <v>100</v>
      </c>
      <c r="F345" s="543"/>
      <c r="G345" s="543">
        <f t="shared" si="30"/>
        <v>0</v>
      </c>
      <c r="H345" s="289"/>
      <c r="I345" s="66"/>
    </row>
    <row r="346" spans="1:9" ht="47.25" x14ac:dyDescent="0.25">
      <c r="A346" s="56"/>
      <c r="B346" s="306" t="s">
        <v>589</v>
      </c>
      <c r="C346" s="370">
        <f>свод!L308</f>
        <v>3071</v>
      </c>
      <c r="D346" s="370">
        <f>свод!R308</f>
        <v>3071</v>
      </c>
      <c r="E346" s="370">
        <f t="shared" si="31"/>
        <v>100</v>
      </c>
      <c r="F346" s="370"/>
      <c r="G346" s="370">
        <f t="shared" si="30"/>
        <v>0</v>
      </c>
      <c r="H346" s="289"/>
      <c r="I346" s="66"/>
    </row>
    <row r="347" spans="1:9" hidden="1" x14ac:dyDescent="0.25">
      <c r="A347" s="56"/>
      <c r="B347" s="306" t="s">
        <v>590</v>
      </c>
      <c r="C347" s="370">
        <f>свод!L309</f>
        <v>0</v>
      </c>
      <c r="D347" s="370">
        <f>свод!R309</f>
        <v>0</v>
      </c>
      <c r="E347" s="370"/>
      <c r="F347" s="370"/>
      <c r="G347" s="370">
        <f t="shared" si="30"/>
        <v>0</v>
      </c>
      <c r="H347" s="289"/>
      <c r="I347" s="66"/>
    </row>
    <row r="348" spans="1:9" ht="31.5" x14ac:dyDescent="0.25">
      <c r="A348" s="56"/>
      <c r="B348" s="308" t="s">
        <v>591</v>
      </c>
      <c r="C348" s="543">
        <f>свод!L310</f>
        <v>143.30000000000001</v>
      </c>
      <c r="D348" s="543">
        <f>свод!R310</f>
        <v>142.52000000000001</v>
      </c>
      <c r="E348" s="543">
        <f t="shared" si="31"/>
        <v>99.455687369155626</v>
      </c>
      <c r="F348" s="543"/>
      <c r="G348" s="543">
        <f t="shared" si="30"/>
        <v>0.78000000000000114</v>
      </c>
      <c r="H348" s="289"/>
      <c r="I348" s="66"/>
    </row>
    <row r="349" spans="1:9" ht="31.5" x14ac:dyDescent="0.25">
      <c r="A349" s="56"/>
      <c r="B349" s="306" t="s">
        <v>591</v>
      </c>
      <c r="C349" s="370">
        <f>свод!L311</f>
        <v>143.30000000000001</v>
      </c>
      <c r="D349" s="370">
        <f>свод!R311</f>
        <v>142.52000000000001</v>
      </c>
      <c r="E349" s="370">
        <f t="shared" si="31"/>
        <v>99.455687369155626</v>
      </c>
      <c r="F349" s="370"/>
      <c r="G349" s="370">
        <f t="shared" si="30"/>
        <v>0.78000000000000114</v>
      </c>
      <c r="H349" s="401" t="s">
        <v>1061</v>
      </c>
      <c r="I349" s="66"/>
    </row>
    <row r="350" spans="1:9" ht="31.5" x14ac:dyDescent="0.25">
      <c r="A350" s="56"/>
      <c r="B350" s="313" t="s">
        <v>592</v>
      </c>
      <c r="C350" s="523">
        <f>свод!L312</f>
        <v>69053.694289999985</v>
      </c>
      <c r="D350" s="523">
        <f>свод!R312</f>
        <v>65255.184699999998</v>
      </c>
      <c r="E350" s="523">
        <f t="shared" si="31"/>
        <v>94.499194244340273</v>
      </c>
      <c r="F350" s="523"/>
      <c r="G350" s="523">
        <f t="shared" si="30"/>
        <v>3798.5095899999869</v>
      </c>
      <c r="H350" s="402"/>
      <c r="I350" s="66"/>
    </row>
    <row r="351" spans="1:9" s="168" customFormat="1" ht="31.5" x14ac:dyDescent="0.25">
      <c r="A351" s="140"/>
      <c r="B351" s="397" t="s">
        <v>593</v>
      </c>
      <c r="C351" s="546">
        <f>свод!L313</f>
        <v>56993.274289999994</v>
      </c>
      <c r="D351" s="546">
        <f>свод!R313</f>
        <v>53194.7647</v>
      </c>
      <c r="E351" s="546">
        <f t="shared" si="31"/>
        <v>93.335161670705276</v>
      </c>
      <c r="F351" s="546"/>
      <c r="G351" s="546">
        <f t="shared" si="30"/>
        <v>3798.5095899999942</v>
      </c>
      <c r="H351" s="402"/>
      <c r="I351" s="145"/>
    </row>
    <row r="352" spans="1:9" s="168" customFormat="1" ht="31.5" x14ac:dyDescent="0.25">
      <c r="A352" s="140"/>
      <c r="B352" s="308" t="s">
        <v>594</v>
      </c>
      <c r="C352" s="543">
        <f>свод!L314</f>
        <v>43660.2</v>
      </c>
      <c r="D352" s="543">
        <f>свод!R314</f>
        <v>43660.2</v>
      </c>
      <c r="E352" s="543">
        <f t="shared" si="31"/>
        <v>100</v>
      </c>
      <c r="F352" s="543"/>
      <c r="G352" s="543">
        <f t="shared" si="30"/>
        <v>0</v>
      </c>
      <c r="H352" s="402"/>
      <c r="I352" s="145"/>
    </row>
    <row r="353" spans="1:9" s="168" customFormat="1" ht="47.25" x14ac:dyDescent="0.25">
      <c r="A353" s="140"/>
      <c r="B353" s="306" t="s">
        <v>814</v>
      </c>
      <c r="C353" s="370">
        <f>свод!L315</f>
        <v>4020</v>
      </c>
      <c r="D353" s="370">
        <f>свод!R315</f>
        <v>4020</v>
      </c>
      <c r="E353" s="370">
        <f t="shared" si="31"/>
        <v>100</v>
      </c>
      <c r="F353" s="370"/>
      <c r="G353" s="370">
        <f t="shared" si="30"/>
        <v>0</v>
      </c>
      <c r="H353" s="400" t="s">
        <v>662</v>
      </c>
      <c r="I353" s="145"/>
    </row>
    <row r="354" spans="1:9" s="168" customFormat="1" ht="31.5" x14ac:dyDescent="0.25">
      <c r="A354" s="140"/>
      <c r="B354" s="306" t="s">
        <v>824</v>
      </c>
      <c r="C354" s="370">
        <f>свод!L316</f>
        <v>23000</v>
      </c>
      <c r="D354" s="370">
        <f>свод!R316</f>
        <v>23000</v>
      </c>
      <c r="E354" s="370">
        <f t="shared" si="31"/>
        <v>100</v>
      </c>
      <c r="F354" s="370"/>
      <c r="G354" s="370">
        <f t="shared" si="30"/>
        <v>0</v>
      </c>
      <c r="H354" s="401" t="s">
        <v>920</v>
      </c>
      <c r="I354" s="145"/>
    </row>
    <row r="355" spans="1:9" s="168" customFormat="1" ht="31.5" x14ac:dyDescent="0.25">
      <c r="A355" s="140"/>
      <c r="B355" s="398" t="s">
        <v>825</v>
      </c>
      <c r="C355" s="547">
        <f>свод!L317</f>
        <v>15740.2</v>
      </c>
      <c r="D355" s="547">
        <f>свод!R317</f>
        <v>15740.2</v>
      </c>
      <c r="E355" s="547">
        <f t="shared" si="31"/>
        <v>100</v>
      </c>
      <c r="F355" s="547"/>
      <c r="G355" s="547">
        <f t="shared" si="30"/>
        <v>0</v>
      </c>
      <c r="H355" s="401"/>
      <c r="I355" s="145"/>
    </row>
    <row r="356" spans="1:9" s="168" customFormat="1" ht="31.5" x14ac:dyDescent="0.25">
      <c r="A356" s="140"/>
      <c r="B356" s="396" t="s">
        <v>563</v>
      </c>
      <c r="C356" s="545">
        <f>свод!L318</f>
        <v>900</v>
      </c>
      <c r="D356" s="545">
        <f>свод!R318</f>
        <v>900</v>
      </c>
      <c r="E356" s="545">
        <f t="shared" si="31"/>
        <v>100</v>
      </c>
      <c r="F356" s="545"/>
      <c r="G356" s="545">
        <f t="shared" si="30"/>
        <v>0</v>
      </c>
      <c r="H356" s="401" t="s">
        <v>921</v>
      </c>
      <c r="I356" s="145"/>
    </row>
    <row r="357" spans="1:9" s="168" customFormat="1" x14ac:dyDescent="0.25">
      <c r="A357" s="140"/>
      <c r="B357" s="308" t="s">
        <v>595</v>
      </c>
      <c r="C357" s="543">
        <f>свод!L319</f>
        <v>2875.93</v>
      </c>
      <c r="D357" s="543">
        <f>свод!R319</f>
        <v>119.66</v>
      </c>
      <c r="E357" s="543">
        <f t="shared" si="31"/>
        <v>4.1607410472438477</v>
      </c>
      <c r="F357" s="543"/>
      <c r="G357" s="543">
        <f t="shared" si="30"/>
        <v>2756.27</v>
      </c>
      <c r="H357" s="402"/>
      <c r="I357" s="145"/>
    </row>
    <row r="358" spans="1:9" s="168" customFormat="1" ht="31.5" x14ac:dyDescent="0.25">
      <c r="A358" s="140"/>
      <c r="B358" s="306" t="s">
        <v>815</v>
      </c>
      <c r="C358" s="370">
        <f>свод!L320</f>
        <v>2500</v>
      </c>
      <c r="D358" s="370">
        <f>свод!R320</f>
        <v>0</v>
      </c>
      <c r="E358" s="370">
        <f t="shared" si="31"/>
        <v>0</v>
      </c>
      <c r="F358" s="370"/>
      <c r="G358" s="370">
        <f t="shared" si="30"/>
        <v>2500</v>
      </c>
      <c r="H358" s="401" t="s">
        <v>922</v>
      </c>
      <c r="I358" s="145"/>
    </row>
    <row r="359" spans="1:9" s="168" customFormat="1" ht="31.5" x14ac:dyDescent="0.25">
      <c r="A359" s="140"/>
      <c r="B359" s="306" t="s">
        <v>596</v>
      </c>
      <c r="C359" s="370">
        <f>свод!L321</f>
        <v>375.93</v>
      </c>
      <c r="D359" s="370">
        <f>свод!R321</f>
        <v>119.66</v>
      </c>
      <c r="E359" s="370">
        <f t="shared" si="31"/>
        <v>31.830393956321657</v>
      </c>
      <c r="F359" s="370"/>
      <c r="G359" s="370">
        <f t="shared" si="30"/>
        <v>256.27</v>
      </c>
      <c r="H359" s="400" t="s">
        <v>923</v>
      </c>
      <c r="I359" s="145"/>
    </row>
    <row r="360" spans="1:9" s="168" customFormat="1" ht="31.5" x14ac:dyDescent="0.25">
      <c r="A360" s="140"/>
      <c r="B360" s="308" t="s">
        <v>597</v>
      </c>
      <c r="C360" s="543">
        <f>свод!L322</f>
        <v>10457.144289999998</v>
      </c>
      <c r="D360" s="543">
        <f>свод!R322</f>
        <v>9414.9046999999991</v>
      </c>
      <c r="E360" s="543">
        <f t="shared" si="31"/>
        <v>90.033229330146312</v>
      </c>
      <c r="F360" s="543"/>
      <c r="G360" s="543">
        <f t="shared" si="30"/>
        <v>1042.2395899999992</v>
      </c>
      <c r="H360" s="402"/>
      <c r="I360" s="145"/>
    </row>
    <row r="361" spans="1:9" s="168" customFormat="1" ht="47.25" x14ac:dyDescent="0.25">
      <c r="A361" s="140"/>
      <c r="B361" s="306" t="s">
        <v>598</v>
      </c>
      <c r="C361" s="370">
        <f>свод!L323</f>
        <v>3850.61</v>
      </c>
      <c r="D361" s="370">
        <f>свод!R323</f>
        <v>2939.1</v>
      </c>
      <c r="E361" s="370">
        <f t="shared" si="31"/>
        <v>76.328166186656134</v>
      </c>
      <c r="F361" s="370"/>
      <c r="G361" s="370">
        <f t="shared" si="30"/>
        <v>911.51000000000022</v>
      </c>
      <c r="H361" s="401" t="s">
        <v>1060</v>
      </c>
      <c r="I361" s="145"/>
    </row>
    <row r="362" spans="1:9" s="168" customFormat="1" ht="31.5" x14ac:dyDescent="0.25">
      <c r="A362" s="140"/>
      <c r="B362" s="306" t="s">
        <v>827</v>
      </c>
      <c r="C362" s="370">
        <f>свод!L324</f>
        <v>69.983180000000004</v>
      </c>
      <c r="D362" s="370">
        <f>свод!R324</f>
        <v>69.983180000000004</v>
      </c>
      <c r="E362" s="370">
        <f t="shared" si="31"/>
        <v>100</v>
      </c>
      <c r="F362" s="370"/>
      <c r="G362" s="370">
        <f t="shared" si="30"/>
        <v>0</v>
      </c>
      <c r="H362" s="401" t="s">
        <v>924</v>
      </c>
      <c r="I362" s="145"/>
    </row>
    <row r="363" spans="1:9" s="168" customFormat="1" ht="47.25" x14ac:dyDescent="0.25">
      <c r="A363" s="140"/>
      <c r="B363" s="306" t="s">
        <v>599</v>
      </c>
      <c r="C363" s="370">
        <f>свод!L325</f>
        <v>27.85538</v>
      </c>
      <c r="D363" s="370">
        <f>свод!R325</f>
        <v>27.85538</v>
      </c>
      <c r="E363" s="370">
        <f t="shared" si="31"/>
        <v>100</v>
      </c>
      <c r="F363" s="370"/>
      <c r="G363" s="370">
        <f t="shared" si="30"/>
        <v>0</v>
      </c>
      <c r="H363" s="400" t="s">
        <v>924</v>
      </c>
      <c r="I363" s="145"/>
    </row>
    <row r="364" spans="1:9" s="168" customFormat="1" ht="31.5" x14ac:dyDescent="0.25">
      <c r="A364" s="140"/>
      <c r="B364" s="306" t="s">
        <v>600</v>
      </c>
      <c r="C364" s="370">
        <f>свод!L326</f>
        <v>512.05999999999995</v>
      </c>
      <c r="D364" s="370">
        <f>свод!R326</f>
        <v>494.58303999999998</v>
      </c>
      <c r="E364" s="370">
        <f t="shared" si="31"/>
        <v>96.58693121899779</v>
      </c>
      <c r="F364" s="370"/>
      <c r="G364" s="370">
        <f t="shared" si="30"/>
        <v>17.476959999999963</v>
      </c>
      <c r="H364" s="401" t="s">
        <v>925</v>
      </c>
      <c r="I364" s="145"/>
    </row>
    <row r="365" spans="1:9" s="168" customFormat="1" ht="31.5" x14ac:dyDescent="0.25">
      <c r="A365" s="140"/>
      <c r="B365" s="306" t="s">
        <v>826</v>
      </c>
      <c r="C365" s="370">
        <f>свод!L327</f>
        <v>4256.9157299999997</v>
      </c>
      <c r="D365" s="370">
        <f>свод!R327</f>
        <v>4186.3732799999998</v>
      </c>
      <c r="E365" s="370">
        <f t="shared" si="31"/>
        <v>98.342874172893247</v>
      </c>
      <c r="F365" s="370"/>
      <c r="G365" s="370">
        <f t="shared" si="30"/>
        <v>70.542449999999917</v>
      </c>
      <c r="H365" s="400" t="s">
        <v>914</v>
      </c>
      <c r="I365" s="145"/>
    </row>
    <row r="366" spans="1:9" s="168" customFormat="1" ht="31.5" x14ac:dyDescent="0.25">
      <c r="A366" s="140"/>
      <c r="B366" s="306" t="s">
        <v>816</v>
      </c>
      <c r="C366" s="370">
        <f>свод!L328</f>
        <v>1739.72</v>
      </c>
      <c r="D366" s="370">
        <f>свод!R328</f>
        <v>1697.00982</v>
      </c>
      <c r="E366" s="370">
        <f t="shared" si="31"/>
        <v>97.54499689605224</v>
      </c>
      <c r="F366" s="370"/>
      <c r="G366" s="370">
        <f t="shared" si="30"/>
        <v>42.710180000000037</v>
      </c>
      <c r="H366" s="400" t="s">
        <v>914</v>
      </c>
      <c r="I366" s="145"/>
    </row>
    <row r="367" spans="1:9" s="168" customFormat="1" x14ac:dyDescent="0.25">
      <c r="A367" s="140"/>
      <c r="B367" s="399" t="s">
        <v>601</v>
      </c>
      <c r="C367" s="546">
        <f>свод!L329</f>
        <v>12060.419999999998</v>
      </c>
      <c r="D367" s="546">
        <f>свод!R329</f>
        <v>12060.419999999998</v>
      </c>
      <c r="E367" s="546">
        <f t="shared" si="31"/>
        <v>100</v>
      </c>
      <c r="F367" s="546"/>
      <c r="G367" s="546">
        <f t="shared" si="30"/>
        <v>0</v>
      </c>
      <c r="H367" s="402"/>
      <c r="I367" s="145"/>
    </row>
    <row r="368" spans="1:9" s="168" customFormat="1" ht="47.25" x14ac:dyDescent="0.25">
      <c r="A368" s="140"/>
      <c r="B368" s="306" t="s">
        <v>602</v>
      </c>
      <c r="C368" s="370">
        <f>свод!L330</f>
        <v>3225.14</v>
      </c>
      <c r="D368" s="370">
        <f>свод!R330</f>
        <v>3225.14</v>
      </c>
      <c r="E368" s="370">
        <f t="shared" si="31"/>
        <v>100</v>
      </c>
      <c r="F368" s="370"/>
      <c r="G368" s="370">
        <f t="shared" si="30"/>
        <v>0</v>
      </c>
      <c r="H368" s="401"/>
      <c r="I368" s="145"/>
    </row>
    <row r="369" spans="1:9" s="168" customFormat="1" ht="31.5" x14ac:dyDescent="0.25">
      <c r="A369" s="140"/>
      <c r="B369" s="306" t="s">
        <v>603</v>
      </c>
      <c r="C369" s="370">
        <f>свод!L332</f>
        <v>3498.5</v>
      </c>
      <c r="D369" s="370">
        <f>свод!R332</f>
        <v>3498.5</v>
      </c>
      <c r="E369" s="370">
        <f t="shared" si="31"/>
        <v>100</v>
      </c>
      <c r="F369" s="370"/>
      <c r="G369" s="370">
        <f t="shared" si="30"/>
        <v>0</v>
      </c>
      <c r="H369" s="137"/>
      <c r="I369" s="145"/>
    </row>
    <row r="370" spans="1:9" s="168" customFormat="1" ht="47.25" hidden="1" x14ac:dyDescent="0.25">
      <c r="A370" s="140"/>
      <c r="B370" s="306" t="s">
        <v>604</v>
      </c>
      <c r="C370" s="345">
        <f>свод!L333</f>
        <v>5286.78</v>
      </c>
      <c r="D370" s="345">
        <f>свод!R333</f>
        <v>5286.78</v>
      </c>
      <c r="E370" s="345">
        <f t="shared" si="31"/>
        <v>100</v>
      </c>
      <c r="F370" s="345"/>
      <c r="G370" s="345">
        <f t="shared" si="30"/>
        <v>0</v>
      </c>
      <c r="H370" s="137"/>
      <c r="I370" s="145"/>
    </row>
    <row r="371" spans="1:9" s="82" customFormat="1" ht="299.25" x14ac:dyDescent="0.25">
      <c r="A371" s="81">
        <v>22</v>
      </c>
      <c r="B371" s="87" t="str">
        <f>свод!B180</f>
        <v>Муниципальная программа «Газификация населенных пунктов муниципального района «Горный улус» на 2019-2023 годы»</v>
      </c>
      <c r="C371" s="101">
        <v>0</v>
      </c>
      <c r="D371" s="100">
        <v>0</v>
      </c>
      <c r="E371" s="100">
        <v>0</v>
      </c>
      <c r="F371" s="94"/>
      <c r="G371" s="100">
        <f t="shared" si="30"/>
        <v>0</v>
      </c>
      <c r="H371" s="107" t="s">
        <v>891</v>
      </c>
      <c r="I371" s="88" t="s">
        <v>654</v>
      </c>
    </row>
    <row r="372" spans="1:9" x14ac:dyDescent="0.25">
      <c r="A372" s="56"/>
      <c r="B372" s="63" t="s">
        <v>626</v>
      </c>
      <c r="C372" s="95">
        <f>SUM(C42+C54+C68+C78+C90+C95+C114+C130+C151+C155+C175+C185+C5+C30+C257+C265+C267+C272+C273+C277)+C216+0.01</f>
        <v>682697.14355999988</v>
      </c>
      <c r="D372" s="95">
        <f>SUM(D42+D54+D68+D78+D90+D95+D114+D130+D151+D155+D175+D185+D5+D30+D257+D265+D267+D272+D273+D277)+D216-0.02</f>
        <v>673683.36779000005</v>
      </c>
      <c r="E372" s="95">
        <v>0</v>
      </c>
      <c r="F372" s="95"/>
      <c r="G372" s="96">
        <f t="shared" si="30"/>
        <v>9013.7757699998328</v>
      </c>
      <c r="H372" s="103"/>
      <c r="I372" s="66"/>
    </row>
    <row r="374" spans="1:9" x14ac:dyDescent="0.25">
      <c r="B374" s="51" t="s">
        <v>926</v>
      </c>
      <c r="C374" s="73"/>
      <c r="D374" s="73"/>
    </row>
    <row r="375" spans="1:9" x14ac:dyDescent="0.25">
      <c r="B375" s="51" t="s">
        <v>927</v>
      </c>
    </row>
  </sheetData>
  <autoFilter ref="A4:I372"/>
  <mergeCells count="3">
    <mergeCell ref="A1:H1"/>
    <mergeCell ref="A2:H2"/>
    <mergeCell ref="A3:H3"/>
  </mergeCells>
  <conditionalFormatting sqref="B239:B244 B218:B227 B233:B237 B231 B247:B252">
    <cfRule type="cellIs" dxfId="8" priority="9" stopIfTrue="1" operator="equal">
      <formula>0</formula>
    </cfRule>
  </conditionalFormatting>
  <conditionalFormatting sqref="B232">
    <cfRule type="cellIs" dxfId="7" priority="8" stopIfTrue="1" operator="equal">
      <formula>0</formula>
    </cfRule>
  </conditionalFormatting>
  <conditionalFormatting sqref="B254:B256">
    <cfRule type="cellIs" dxfId="6" priority="7" stopIfTrue="1" operator="equal">
      <formula>0</formula>
    </cfRule>
  </conditionalFormatting>
  <conditionalFormatting sqref="B228:B230">
    <cfRule type="cellIs" dxfId="5" priority="6" stopIfTrue="1" operator="equal">
      <formula>0</formula>
    </cfRule>
  </conditionalFormatting>
  <conditionalFormatting sqref="C231:F231 C233:G233 C236:G237 C234:F235 C239:G252 C218:F227">
    <cfRule type="cellIs" dxfId="4" priority="5" stopIfTrue="1" operator="equal">
      <formula>0</formula>
    </cfRule>
  </conditionalFormatting>
  <conditionalFormatting sqref="C232:F232">
    <cfRule type="cellIs" dxfId="3" priority="4" stopIfTrue="1" operator="equal">
      <formula>0</formula>
    </cfRule>
  </conditionalFormatting>
  <conditionalFormatting sqref="C254:F256">
    <cfRule type="cellIs" dxfId="2" priority="3" stopIfTrue="1" operator="equal">
      <formula>0</formula>
    </cfRule>
  </conditionalFormatting>
  <conditionalFormatting sqref="C228:G228 C230:G230 C229:F229">
    <cfRule type="cellIs" dxfId="1" priority="2" stopIfTrue="1" operator="equal">
      <formula>0</formula>
    </cfRule>
  </conditionalFormatting>
  <conditionalFormatting sqref="B245:B246">
    <cfRule type="cellIs" dxfId="0" priority="1" stopIfTrue="1" operator="equal">
      <formula>0</formula>
    </cfRule>
  </conditionalFormatting>
  <pageMargins left="0.70866141732283472" right="0.70866141732283472" top="0.35433070866141736" bottom="0.35433070866141736"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X456"/>
  <sheetViews>
    <sheetView zoomScale="70" zoomScaleNormal="70" workbookViewId="0">
      <pane ySplit="5" topLeftCell="A428" activePane="bottomLeft" state="frozen"/>
      <selection activeCell="B1" sqref="B1"/>
      <selection pane="bottomLeft" activeCell="B436" sqref="B436"/>
    </sheetView>
  </sheetViews>
  <sheetFormatPr defaultRowHeight="15.75" x14ac:dyDescent="0.25"/>
  <cols>
    <col min="1" max="1" width="6.85546875" style="647" customWidth="1"/>
    <col min="2" max="2" width="64.140625" style="21" customWidth="1"/>
    <col min="3" max="3" width="15" style="21" customWidth="1"/>
    <col min="4" max="4" width="13.7109375" style="21" customWidth="1"/>
    <col min="5" max="5" width="21.85546875" style="21" customWidth="1"/>
    <col min="6" max="6" width="18.7109375" style="21" customWidth="1"/>
    <col min="7" max="7" width="14.5703125" style="21" customWidth="1"/>
    <col min="8" max="8" width="63.85546875" style="588" customWidth="1"/>
    <col min="9" max="16384" width="9.140625" style="21"/>
  </cols>
  <sheetData>
    <row r="1" spans="1:102" ht="33" customHeight="1" x14ac:dyDescent="0.25">
      <c r="A1" s="805" t="s">
        <v>956</v>
      </c>
      <c r="B1" s="806"/>
      <c r="C1" s="806"/>
      <c r="D1" s="806"/>
      <c r="E1" s="806"/>
      <c r="F1" s="806"/>
      <c r="G1" s="806"/>
    </row>
    <row r="2" spans="1:102" s="648" customFormat="1" x14ac:dyDescent="0.25">
      <c r="A2" s="647"/>
      <c r="B2" s="649"/>
      <c r="C2" s="649"/>
      <c r="D2" s="649"/>
      <c r="H2" s="588"/>
    </row>
    <row r="3" spans="1:102" x14ac:dyDescent="0.25">
      <c r="A3" s="25"/>
      <c r="B3" s="810" t="s">
        <v>44</v>
      </c>
      <c r="C3" s="810" t="s">
        <v>45</v>
      </c>
      <c r="D3" s="835" t="s">
        <v>37</v>
      </c>
      <c r="E3" s="835" t="s">
        <v>38</v>
      </c>
      <c r="F3" s="835" t="s">
        <v>39</v>
      </c>
      <c r="G3" s="800" t="s">
        <v>160</v>
      </c>
      <c r="H3" s="212"/>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row>
    <row r="4" spans="1:102" x14ac:dyDescent="0.25">
      <c r="A4" s="25"/>
      <c r="B4" s="810"/>
      <c r="C4" s="810"/>
      <c r="D4" s="835"/>
      <c r="E4" s="801"/>
      <c r="F4" s="835"/>
      <c r="G4" s="800"/>
      <c r="H4" s="212"/>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row>
    <row r="5" spans="1:102" x14ac:dyDescent="0.25">
      <c r="A5" s="25"/>
      <c r="B5" s="810"/>
      <c r="C5" s="810"/>
      <c r="D5" s="800" t="s">
        <v>749</v>
      </c>
      <c r="E5" s="828"/>
      <c r="F5" s="835"/>
      <c r="G5" s="800"/>
      <c r="H5" s="212"/>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row>
    <row r="6" spans="1:102" x14ac:dyDescent="0.25">
      <c r="A6" s="25"/>
      <c r="B6" s="24"/>
      <c r="C6" s="24">
        <v>2</v>
      </c>
      <c r="D6" s="24">
        <v>3</v>
      </c>
      <c r="E6" s="24">
        <v>4</v>
      </c>
      <c r="F6" s="24">
        <v>5</v>
      </c>
      <c r="G6" s="24">
        <v>6</v>
      </c>
      <c r="H6" s="212"/>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row>
    <row r="7" spans="1:102" s="121" customFormat="1" ht="33" customHeight="1" x14ac:dyDescent="0.25">
      <c r="A7" s="279">
        <v>1</v>
      </c>
      <c r="B7" s="799" t="str">
        <f>свод!B5</f>
        <v xml:space="preserve">Муниципальная программа «Обеспечение качественным жильем и повышение качества жилищно-коммунальных услуг в МР «Горный улус» на 2020-2024годы» </v>
      </c>
      <c r="C7" s="799"/>
      <c r="D7" s="799"/>
      <c r="E7" s="827"/>
      <c r="F7" s="823"/>
      <c r="G7" s="591">
        <f>AVERAGE(F9:F11,F15:F17,F20,F23,F25,F28,F31,F39,F42)</f>
        <v>80.376677657365931</v>
      </c>
      <c r="H7" s="213"/>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row>
    <row r="8" spans="1:102" s="138" customFormat="1" ht="48" customHeight="1" x14ac:dyDescent="0.25">
      <c r="A8" s="25"/>
      <c r="B8" s="838" t="s">
        <v>935</v>
      </c>
      <c r="C8" s="838"/>
      <c r="D8" s="838"/>
      <c r="E8" s="838"/>
      <c r="F8" s="838"/>
      <c r="G8" s="25"/>
      <c r="H8" s="212"/>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row>
    <row r="9" spans="1:102" s="138" customFormat="1" x14ac:dyDescent="0.25">
      <c r="A9" s="25"/>
      <c r="B9" s="689" t="s">
        <v>161</v>
      </c>
      <c r="C9" s="24" t="s">
        <v>162</v>
      </c>
      <c r="D9" s="189">
        <v>10509</v>
      </c>
      <c r="E9" s="652">
        <v>10708</v>
      </c>
      <c r="F9" s="26">
        <v>100</v>
      </c>
      <c r="G9" s="190"/>
      <c r="H9" s="214"/>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row>
    <row r="10" spans="1:102" s="138" customFormat="1" x14ac:dyDescent="0.25">
      <c r="A10" s="25"/>
      <c r="B10" s="689" t="s">
        <v>163</v>
      </c>
      <c r="C10" s="24" t="s">
        <v>162</v>
      </c>
      <c r="D10" s="189">
        <v>6509</v>
      </c>
      <c r="E10" s="652">
        <f>E9-E11</f>
        <v>5092</v>
      </c>
      <c r="F10" s="26">
        <f>SUM(E10/D10)*100</f>
        <v>78.230142879090494</v>
      </c>
      <c r="G10" s="190"/>
      <c r="H10" s="214"/>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row>
    <row r="11" spans="1:102" s="138" customFormat="1" x14ac:dyDescent="0.25">
      <c r="A11" s="25"/>
      <c r="B11" s="689" t="s">
        <v>164</v>
      </c>
      <c r="C11" s="24" t="s">
        <v>162</v>
      </c>
      <c r="D11" s="189">
        <v>4000</v>
      </c>
      <c r="E11" s="652">
        <v>5616</v>
      </c>
      <c r="F11" s="26">
        <v>100</v>
      </c>
      <c r="G11" s="190"/>
      <c r="H11" s="214"/>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row>
    <row r="12" spans="1:102" s="138" customFormat="1" x14ac:dyDescent="0.25">
      <c r="A12" s="25"/>
      <c r="B12" s="802" t="s">
        <v>165</v>
      </c>
      <c r="C12" s="802"/>
      <c r="D12" s="802"/>
      <c r="E12" s="802"/>
      <c r="F12" s="802"/>
      <c r="G12" s="190"/>
      <c r="H12" s="214"/>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row>
    <row r="13" spans="1:102" s="138" customFormat="1" ht="17.25" customHeight="1" x14ac:dyDescent="0.25">
      <c r="A13" s="25"/>
      <c r="B13" s="802" t="s">
        <v>166</v>
      </c>
      <c r="C13" s="802"/>
      <c r="D13" s="802"/>
      <c r="E13" s="802"/>
      <c r="F13" s="802"/>
      <c r="G13" s="119"/>
      <c r="H13" s="588"/>
    </row>
    <row r="14" spans="1:102" s="138" customFormat="1" ht="31.5" x14ac:dyDescent="0.25">
      <c r="A14" s="25"/>
      <c r="B14" s="690" t="s">
        <v>967</v>
      </c>
      <c r="C14" s="28" t="s">
        <v>69</v>
      </c>
      <c r="D14" s="191">
        <v>0</v>
      </c>
      <c r="E14" s="29">
        <v>0</v>
      </c>
      <c r="F14" s="26"/>
      <c r="G14" s="119"/>
      <c r="H14" s="588"/>
    </row>
    <row r="15" spans="1:102" s="138" customFormat="1" x14ac:dyDescent="0.25">
      <c r="A15" s="25"/>
      <c r="B15" s="690" t="s">
        <v>167</v>
      </c>
      <c r="C15" s="191" t="s">
        <v>69</v>
      </c>
      <c r="D15" s="191">
        <v>3</v>
      </c>
      <c r="E15" s="29">
        <v>1</v>
      </c>
      <c r="F15" s="26">
        <f>SUM(E15/D15)*100</f>
        <v>33.333333333333329</v>
      </c>
      <c r="G15" s="119"/>
      <c r="H15" s="588" t="s">
        <v>1031</v>
      </c>
    </row>
    <row r="16" spans="1:102" s="138" customFormat="1" x14ac:dyDescent="0.25">
      <c r="A16" s="25"/>
      <c r="B16" s="690" t="s">
        <v>168</v>
      </c>
      <c r="C16" s="28" t="s">
        <v>69</v>
      </c>
      <c r="D16" s="191">
        <v>2</v>
      </c>
      <c r="E16" s="29">
        <v>1</v>
      </c>
      <c r="F16" s="26">
        <f>SUM(E16/D16)*100</f>
        <v>50</v>
      </c>
      <c r="G16" s="119"/>
      <c r="H16" s="588" t="s">
        <v>1031</v>
      </c>
    </row>
    <row r="17" spans="1:11" s="138" customFormat="1" ht="47.25" x14ac:dyDescent="0.25">
      <c r="A17" s="25"/>
      <c r="B17" s="690" t="s">
        <v>169</v>
      </c>
      <c r="C17" s="191" t="s">
        <v>69</v>
      </c>
      <c r="D17" s="191">
        <v>6</v>
      </c>
      <c r="E17" s="29">
        <v>5</v>
      </c>
      <c r="F17" s="26">
        <f>SUM(E17/D17)*100</f>
        <v>83.333333333333343</v>
      </c>
      <c r="G17" s="119"/>
      <c r="H17" s="588" t="s">
        <v>1126</v>
      </c>
    </row>
    <row r="18" spans="1:11" s="138" customFormat="1" ht="31.5" x14ac:dyDescent="0.25">
      <c r="A18" s="25"/>
      <c r="B18" s="690" t="s">
        <v>170</v>
      </c>
      <c r="C18" s="191" t="s">
        <v>69</v>
      </c>
      <c r="D18" s="191">
        <v>0</v>
      </c>
      <c r="E18" s="29">
        <v>0</v>
      </c>
      <c r="F18" s="26"/>
      <c r="G18" s="119"/>
      <c r="H18" s="588"/>
    </row>
    <row r="19" spans="1:11" s="138" customFormat="1" x14ac:dyDescent="0.25">
      <c r="A19" s="25"/>
      <c r="B19" s="839" t="s">
        <v>171</v>
      </c>
      <c r="C19" s="839"/>
      <c r="D19" s="839"/>
      <c r="E19" s="839"/>
      <c r="F19" s="839"/>
      <c r="G19" s="119"/>
      <c r="H19" s="588"/>
    </row>
    <row r="20" spans="1:11" s="138" customFormat="1" ht="31.5" x14ac:dyDescent="0.25">
      <c r="A20" s="25"/>
      <c r="B20" s="690" t="s">
        <v>172</v>
      </c>
      <c r="C20" s="24" t="s">
        <v>39</v>
      </c>
      <c r="D20" s="256">
        <v>4.5</v>
      </c>
      <c r="E20" s="741">
        <v>3.88</v>
      </c>
      <c r="F20" s="26">
        <v>100</v>
      </c>
      <c r="G20" s="119"/>
      <c r="H20" s="212" t="s">
        <v>1199</v>
      </c>
    </row>
    <row r="21" spans="1:11" s="138" customFormat="1" x14ac:dyDescent="0.25">
      <c r="A21" s="25"/>
      <c r="B21" s="802" t="s">
        <v>173</v>
      </c>
      <c r="C21" s="802"/>
      <c r="D21" s="802"/>
      <c r="E21" s="802"/>
      <c r="F21" s="802"/>
      <c r="G21" s="119"/>
      <c r="H21" s="588"/>
    </row>
    <row r="22" spans="1:11" s="138" customFormat="1" x14ac:dyDescent="0.25">
      <c r="A22" s="25"/>
      <c r="B22" s="802" t="s">
        <v>174</v>
      </c>
      <c r="C22" s="802"/>
      <c r="D22" s="802"/>
      <c r="E22" s="802"/>
      <c r="F22" s="802"/>
      <c r="G22" s="119"/>
      <c r="H22" s="588"/>
    </row>
    <row r="23" spans="1:11" s="138" customFormat="1" ht="47.25" x14ac:dyDescent="0.25">
      <c r="A23" s="25"/>
      <c r="B23" s="689" t="s">
        <v>175</v>
      </c>
      <c r="C23" s="28" t="s">
        <v>52</v>
      </c>
      <c r="D23" s="257">
        <v>2</v>
      </c>
      <c r="E23" s="258">
        <v>0</v>
      </c>
      <c r="F23" s="26">
        <f>SUM(E23/D23)*100</f>
        <v>0</v>
      </c>
      <c r="G23" s="119"/>
      <c r="H23" s="588" t="s">
        <v>1128</v>
      </c>
      <c r="K23" s="23">
        <v>1</v>
      </c>
    </row>
    <row r="24" spans="1:11" s="115" customFormat="1" x14ac:dyDescent="0.25">
      <c r="A24" s="25"/>
      <c r="B24" s="802" t="s">
        <v>176</v>
      </c>
      <c r="C24" s="802"/>
      <c r="D24" s="802"/>
      <c r="E24" s="802"/>
      <c r="F24" s="802"/>
      <c r="G24" s="119"/>
      <c r="H24" s="588"/>
    </row>
    <row r="25" spans="1:11" s="115" customFormat="1" ht="47.25" customHeight="1" x14ac:dyDescent="0.25">
      <c r="A25" s="25"/>
      <c r="B25" s="689" t="s">
        <v>177</v>
      </c>
      <c r="C25" s="24" t="s">
        <v>69</v>
      </c>
      <c r="D25" s="28">
        <v>7</v>
      </c>
      <c r="E25" s="28">
        <v>7</v>
      </c>
      <c r="F25" s="26">
        <f>SUM(E25/D25)*100</f>
        <v>100</v>
      </c>
      <c r="G25" s="119"/>
      <c r="H25" s="588"/>
    </row>
    <row r="26" spans="1:11" s="138" customFormat="1" x14ac:dyDescent="0.25">
      <c r="A26" s="25"/>
      <c r="B26" s="802" t="s">
        <v>178</v>
      </c>
      <c r="C26" s="802"/>
      <c r="D26" s="802"/>
      <c r="E26" s="802"/>
      <c r="F26" s="802"/>
      <c r="G26" s="119"/>
      <c r="H26" s="588"/>
    </row>
    <row r="27" spans="1:11" s="138" customFormat="1" x14ac:dyDescent="0.25">
      <c r="A27" s="25"/>
      <c r="B27" s="802" t="s">
        <v>179</v>
      </c>
      <c r="C27" s="802"/>
      <c r="D27" s="802"/>
      <c r="E27" s="802"/>
      <c r="F27" s="802"/>
      <c r="G27" s="119"/>
      <c r="H27" s="588"/>
    </row>
    <row r="28" spans="1:11" s="138" customFormat="1" ht="31.5" x14ac:dyDescent="0.25">
      <c r="A28" s="25"/>
      <c r="B28" s="689" t="s">
        <v>180</v>
      </c>
      <c r="C28" s="24" t="s">
        <v>69</v>
      </c>
      <c r="D28" s="28">
        <v>2</v>
      </c>
      <c r="E28" s="662">
        <v>2</v>
      </c>
      <c r="F28" s="26">
        <v>100</v>
      </c>
      <c r="G28" s="119"/>
      <c r="H28" s="212" t="s">
        <v>1127</v>
      </c>
    </row>
    <row r="29" spans="1:11" s="138" customFormat="1" x14ac:dyDescent="0.25">
      <c r="A29" s="25"/>
      <c r="B29" s="689" t="s">
        <v>181</v>
      </c>
      <c r="C29" s="24" t="s">
        <v>69</v>
      </c>
      <c r="D29" s="28">
        <v>0</v>
      </c>
      <c r="E29" s="662">
        <v>0</v>
      </c>
      <c r="F29" s="26"/>
      <c r="G29" s="119"/>
      <c r="H29" s="588"/>
    </row>
    <row r="30" spans="1:11" s="138" customFormat="1" x14ac:dyDescent="0.25">
      <c r="A30" s="25"/>
      <c r="B30" s="802" t="s">
        <v>182</v>
      </c>
      <c r="C30" s="802"/>
      <c r="D30" s="802"/>
      <c r="E30" s="802"/>
      <c r="F30" s="802"/>
      <c r="G30" s="119"/>
      <c r="H30" s="588"/>
    </row>
    <row r="31" spans="1:11" s="138" customFormat="1" x14ac:dyDescent="0.25">
      <c r="A31" s="25"/>
      <c r="B31" s="689" t="s">
        <v>183</v>
      </c>
      <c r="C31" s="24" t="s">
        <v>69</v>
      </c>
      <c r="D31" s="28">
        <v>1</v>
      </c>
      <c r="E31" s="28">
        <v>1</v>
      </c>
      <c r="F31" s="26">
        <f>E31/D31*100</f>
        <v>100</v>
      </c>
      <c r="G31" s="119"/>
      <c r="H31" s="588"/>
    </row>
    <row r="32" spans="1:11" s="138" customFormat="1" x14ac:dyDescent="0.25">
      <c r="A32" s="25"/>
      <c r="B32" s="802" t="s">
        <v>184</v>
      </c>
      <c r="C32" s="802"/>
      <c r="D32" s="802"/>
      <c r="E32" s="802"/>
      <c r="F32" s="802"/>
      <c r="G32" s="119"/>
      <c r="H32" s="588"/>
    </row>
    <row r="33" spans="1:11" s="138" customFormat="1" ht="31.5" x14ac:dyDescent="0.25">
      <c r="A33" s="25"/>
      <c r="B33" s="689" t="s">
        <v>185</v>
      </c>
      <c r="C33" s="24" t="s">
        <v>69</v>
      </c>
      <c r="D33" s="28">
        <v>0</v>
      </c>
      <c r="E33" s="662">
        <v>0</v>
      </c>
      <c r="F33" s="26"/>
      <c r="G33" s="119"/>
      <c r="H33" s="588"/>
    </row>
    <row r="34" spans="1:11" s="138" customFormat="1" x14ac:dyDescent="0.25">
      <c r="A34" s="25"/>
      <c r="B34" s="689" t="s">
        <v>186</v>
      </c>
      <c r="C34" s="24" t="s">
        <v>69</v>
      </c>
      <c r="D34" s="28">
        <v>0</v>
      </c>
      <c r="E34" s="662">
        <v>0</v>
      </c>
      <c r="F34" s="26"/>
      <c r="G34" s="119"/>
      <c r="H34" s="588"/>
    </row>
    <row r="35" spans="1:11" s="138" customFormat="1" x14ac:dyDescent="0.25">
      <c r="A35" s="25"/>
      <c r="B35" s="689" t="s">
        <v>187</v>
      </c>
      <c r="C35" s="24" t="s">
        <v>188</v>
      </c>
      <c r="D35" s="257">
        <v>0</v>
      </c>
      <c r="E35" s="258">
        <v>1480</v>
      </c>
      <c r="F35" s="26"/>
      <c r="G35" s="119"/>
      <c r="H35" s="588"/>
    </row>
    <row r="36" spans="1:11" s="138" customFormat="1" x14ac:dyDescent="0.25">
      <c r="A36" s="25"/>
      <c r="B36" s="689" t="s">
        <v>189</v>
      </c>
      <c r="C36" s="24" t="s">
        <v>190</v>
      </c>
      <c r="D36" s="257">
        <v>0</v>
      </c>
      <c r="E36" s="258">
        <v>25</v>
      </c>
      <c r="F36" s="26"/>
      <c r="G36" s="119"/>
      <c r="H36" s="588"/>
    </row>
    <row r="37" spans="1:11" s="138" customFormat="1" x14ac:dyDescent="0.25">
      <c r="A37" s="25"/>
      <c r="B37" s="802" t="s">
        <v>191</v>
      </c>
      <c r="C37" s="802"/>
      <c r="D37" s="802"/>
      <c r="E37" s="802"/>
      <c r="F37" s="802"/>
      <c r="G37" s="119"/>
      <c r="H37" s="588"/>
    </row>
    <row r="38" spans="1:11" s="138" customFormat="1" x14ac:dyDescent="0.25">
      <c r="A38" s="25"/>
      <c r="B38" s="802" t="s">
        <v>192</v>
      </c>
      <c r="C38" s="802"/>
      <c r="D38" s="802"/>
      <c r="E38" s="802"/>
      <c r="F38" s="802"/>
      <c r="G38" s="119"/>
      <c r="H38" s="588"/>
    </row>
    <row r="39" spans="1:11" s="138" customFormat="1" x14ac:dyDescent="0.25">
      <c r="A39" s="25"/>
      <c r="B39" s="689" t="s">
        <v>193</v>
      </c>
      <c r="C39" s="24" t="s">
        <v>69</v>
      </c>
      <c r="D39" s="28">
        <v>1</v>
      </c>
      <c r="E39" s="662">
        <v>1</v>
      </c>
      <c r="F39" s="26">
        <f>SUM(E39/D39)*100</f>
        <v>100</v>
      </c>
      <c r="G39" s="119"/>
      <c r="H39" s="588"/>
    </row>
    <row r="40" spans="1:11" s="138" customFormat="1" x14ac:dyDescent="0.25">
      <c r="A40" s="25"/>
      <c r="B40" s="689" t="s">
        <v>194</v>
      </c>
      <c r="C40" s="24" t="s">
        <v>69</v>
      </c>
      <c r="D40" s="28">
        <v>0</v>
      </c>
      <c r="E40" s="662">
        <v>0</v>
      </c>
      <c r="F40" s="26"/>
      <c r="G40" s="119"/>
      <c r="H40" s="588"/>
    </row>
    <row r="41" spans="1:11" s="138" customFormat="1" x14ac:dyDescent="0.25">
      <c r="A41" s="25"/>
      <c r="B41" s="689" t="s">
        <v>195</v>
      </c>
      <c r="C41" s="24" t="s">
        <v>69</v>
      </c>
      <c r="D41" s="28">
        <v>0</v>
      </c>
      <c r="E41" s="662">
        <v>0</v>
      </c>
      <c r="F41" s="26"/>
      <c r="G41" s="119"/>
      <c r="H41" s="588"/>
    </row>
    <row r="42" spans="1:11" s="138" customFormat="1" ht="31.5" x14ac:dyDescent="0.25">
      <c r="A42" s="25"/>
      <c r="B42" s="689" t="s">
        <v>196</v>
      </c>
      <c r="C42" s="24" t="s">
        <v>188</v>
      </c>
      <c r="D42" s="28">
        <v>800</v>
      </c>
      <c r="E42" s="662">
        <v>800</v>
      </c>
      <c r="F42" s="26">
        <f>SUM(E42/D42)*100</f>
        <v>100</v>
      </c>
      <c r="G42" s="119"/>
      <c r="H42" s="588"/>
    </row>
    <row r="43" spans="1:11" s="34" customFormat="1" ht="25.5" customHeight="1" x14ac:dyDescent="0.25">
      <c r="A43" s="279">
        <v>2</v>
      </c>
      <c r="B43" s="799" t="str">
        <f>свод!B20</f>
        <v>Муниципальная программа «Развитие  дорожного хозяйства в МР «Горный улус» на 2020-2024 годы»</v>
      </c>
      <c r="C43" s="822"/>
      <c r="D43" s="822"/>
      <c r="E43" s="822"/>
      <c r="F43" s="822"/>
      <c r="G43" s="599">
        <f>(F45+F46+F47+F48+F49)/4</f>
        <v>100</v>
      </c>
      <c r="H43" s="215"/>
    </row>
    <row r="44" spans="1:11" ht="32.25" customHeight="1" x14ac:dyDescent="0.25">
      <c r="A44" s="25"/>
      <c r="B44" s="800" t="s">
        <v>936</v>
      </c>
      <c r="C44" s="840"/>
      <c r="D44" s="840"/>
      <c r="E44" s="840"/>
      <c r="F44" s="840"/>
      <c r="G44" s="25"/>
    </row>
    <row r="45" spans="1:11" ht="31.5" x14ac:dyDescent="0.25">
      <c r="A45" s="25"/>
      <c r="B45" s="691" t="s">
        <v>197</v>
      </c>
      <c r="C45" s="192" t="s">
        <v>198</v>
      </c>
      <c r="D45" s="193">
        <v>562.04</v>
      </c>
      <c r="E45" s="193">
        <v>562.04</v>
      </c>
      <c r="F45" s="26">
        <f>E45/D45*100</f>
        <v>100</v>
      </c>
      <c r="G45" s="194"/>
      <c r="H45" s="212" t="s">
        <v>1163</v>
      </c>
      <c r="K45" s="138"/>
    </row>
    <row r="46" spans="1:11" ht="47.25" x14ac:dyDescent="0.25">
      <c r="A46" s="25"/>
      <c r="B46" s="691" t="s">
        <v>199</v>
      </c>
      <c r="C46" s="192" t="s">
        <v>198</v>
      </c>
      <c r="D46" s="193">
        <v>480.08</v>
      </c>
      <c r="E46" s="193">
        <v>480.08</v>
      </c>
      <c r="F46" s="26">
        <f>E46/D46*100</f>
        <v>100</v>
      </c>
      <c r="G46" s="194"/>
      <c r="H46" s="212"/>
      <c r="K46" s="138"/>
    </row>
    <row r="47" spans="1:11" ht="36.75" customHeight="1" x14ac:dyDescent="0.25">
      <c r="A47" s="25"/>
      <c r="B47" s="691" t="s">
        <v>200</v>
      </c>
      <c r="C47" s="192" t="s">
        <v>69</v>
      </c>
      <c r="D47" s="193">
        <v>2</v>
      </c>
      <c r="E47" s="193">
        <v>2</v>
      </c>
      <c r="F47" s="26">
        <f>E47/D47*100</f>
        <v>100</v>
      </c>
      <c r="G47" s="194"/>
      <c r="H47" s="212" t="s">
        <v>1162</v>
      </c>
      <c r="K47" s="138"/>
    </row>
    <row r="48" spans="1:11" ht="34.5" customHeight="1" x14ac:dyDescent="0.25">
      <c r="A48" s="25"/>
      <c r="B48" s="684" t="s">
        <v>201</v>
      </c>
      <c r="C48" s="29" t="s">
        <v>198</v>
      </c>
      <c r="D48" s="195">
        <v>0</v>
      </c>
      <c r="E48" s="193">
        <v>0</v>
      </c>
      <c r="F48" s="26"/>
      <c r="G48" s="25"/>
      <c r="H48" s="212"/>
    </row>
    <row r="49" spans="1:11" ht="36.75" customHeight="1" x14ac:dyDescent="0.25">
      <c r="A49" s="25"/>
      <c r="B49" s="692" t="s">
        <v>202</v>
      </c>
      <c r="C49" s="29" t="s">
        <v>198</v>
      </c>
      <c r="D49" s="195">
        <v>0.8</v>
      </c>
      <c r="E49" s="193">
        <v>0.8</v>
      </c>
      <c r="F49" s="26">
        <f>E49/D49*100</f>
        <v>100</v>
      </c>
      <c r="G49" s="25"/>
      <c r="H49" s="212" t="s">
        <v>1161</v>
      </c>
      <c r="K49" s="138"/>
    </row>
    <row r="50" spans="1:11" s="34" customFormat="1" ht="18" customHeight="1" x14ac:dyDescent="0.25">
      <c r="A50" s="279">
        <v>3</v>
      </c>
      <c r="B50" s="808" t="str">
        <f>свод!B371</f>
        <v xml:space="preserve">Муниципальная программа «Энергосбережение на территории МР "Горный улус" на 2020-2024 годы» </v>
      </c>
      <c r="C50" s="808"/>
      <c r="D50" s="808"/>
      <c r="E50" s="808"/>
      <c r="F50" s="808"/>
      <c r="G50" s="591">
        <f>AVERAGE(F53,F54,F55,F56,F57,F60,F61,F62,F63,F64,F65,F67,F68,F69,F70,F76,F77,F78,F83,F85,F86,F87)</f>
        <v>66.675447133275554</v>
      </c>
      <c r="H50" s="215"/>
    </row>
    <row r="51" spans="1:11" ht="33" customHeight="1" x14ac:dyDescent="0.25">
      <c r="A51" s="25"/>
      <c r="B51" s="841" t="s">
        <v>934</v>
      </c>
      <c r="C51" s="841"/>
      <c r="D51" s="841"/>
      <c r="E51" s="841"/>
      <c r="F51" s="841"/>
      <c r="G51" s="30"/>
    </row>
    <row r="52" spans="1:11" s="20" customFormat="1" x14ac:dyDescent="0.25">
      <c r="A52" s="25"/>
      <c r="B52" s="802" t="s">
        <v>664</v>
      </c>
      <c r="C52" s="802"/>
      <c r="D52" s="802"/>
      <c r="E52" s="802"/>
      <c r="F52" s="802"/>
      <c r="G52" s="119"/>
      <c r="H52" s="588"/>
    </row>
    <row r="53" spans="1:11" s="20" customFormat="1" ht="47.25" x14ac:dyDescent="0.25">
      <c r="A53" s="25"/>
      <c r="B53" s="693" t="s">
        <v>665</v>
      </c>
      <c r="C53" s="75" t="s">
        <v>39</v>
      </c>
      <c r="D53" s="76">
        <v>100</v>
      </c>
      <c r="E53" s="76">
        <v>100</v>
      </c>
      <c r="F53" s="33">
        <f>SUM(E53/D53*100)</f>
        <v>100</v>
      </c>
      <c r="G53" s="119"/>
      <c r="H53" s="212"/>
      <c r="K53" s="138"/>
    </row>
    <row r="54" spans="1:11" s="20" customFormat="1" ht="47.25" x14ac:dyDescent="0.25">
      <c r="A54" s="25"/>
      <c r="B54" s="693" t="s">
        <v>666</v>
      </c>
      <c r="C54" s="75" t="s">
        <v>39</v>
      </c>
      <c r="D54" s="76">
        <v>30.4</v>
      </c>
      <c r="E54" s="76">
        <v>15.4</v>
      </c>
      <c r="F54" s="33">
        <f>SUM(E54/D54*100)</f>
        <v>50.65789473684211</v>
      </c>
      <c r="G54" s="119"/>
      <c r="H54" s="212"/>
    </row>
    <row r="55" spans="1:11" s="20" customFormat="1" ht="47.25" x14ac:dyDescent="0.25">
      <c r="A55" s="25"/>
      <c r="B55" s="693" t="s">
        <v>667</v>
      </c>
      <c r="C55" s="75" t="s">
        <v>39</v>
      </c>
      <c r="D55" s="76">
        <v>60.1</v>
      </c>
      <c r="E55" s="76">
        <v>21.1</v>
      </c>
      <c r="F55" s="33">
        <f>SUM(E55/D55*100)</f>
        <v>35.108153078202996</v>
      </c>
      <c r="G55" s="119"/>
      <c r="H55" s="212"/>
    </row>
    <row r="56" spans="1:11" s="20" customFormat="1" ht="47.25" x14ac:dyDescent="0.25">
      <c r="A56" s="25"/>
      <c r="B56" s="693" t="s">
        <v>668</v>
      </c>
      <c r="C56" s="75" t="s">
        <v>39</v>
      </c>
      <c r="D56" s="76">
        <v>13</v>
      </c>
      <c r="E56" s="76">
        <v>41.6</v>
      </c>
      <c r="F56" s="33">
        <v>100</v>
      </c>
      <c r="G56" s="119"/>
      <c r="H56" s="212"/>
      <c r="K56" s="138"/>
    </row>
    <row r="57" spans="1:11" s="20" customFormat="1" ht="47.25" x14ac:dyDescent="0.25">
      <c r="A57" s="25"/>
      <c r="B57" s="693" t="s">
        <v>669</v>
      </c>
      <c r="C57" s="75" t="s">
        <v>39</v>
      </c>
      <c r="D57" s="76">
        <v>100</v>
      </c>
      <c r="E57" s="76">
        <v>100</v>
      </c>
      <c r="F57" s="33">
        <f>SUM(E57/D57*100)</f>
        <v>100</v>
      </c>
      <c r="G57" s="119"/>
      <c r="H57" s="212"/>
      <c r="K57" s="138"/>
    </row>
    <row r="58" spans="1:11" s="20" customFormat="1" ht="63" x14ac:dyDescent="0.25">
      <c r="A58" s="25"/>
      <c r="B58" s="693" t="s">
        <v>670</v>
      </c>
      <c r="C58" s="75" t="s">
        <v>39</v>
      </c>
      <c r="D58" s="76">
        <v>0</v>
      </c>
      <c r="E58" s="76">
        <v>0</v>
      </c>
      <c r="F58" s="33"/>
      <c r="G58" s="119"/>
      <c r="H58" s="588"/>
    </row>
    <row r="59" spans="1:11" s="20" customFormat="1" x14ac:dyDescent="0.25">
      <c r="A59" s="25"/>
      <c r="B59" s="802" t="s">
        <v>671</v>
      </c>
      <c r="C59" s="802"/>
      <c r="D59" s="802"/>
      <c r="E59" s="802"/>
      <c r="F59" s="802"/>
      <c r="G59" s="119"/>
      <c r="H59" s="588"/>
    </row>
    <row r="60" spans="1:11" s="20" customFormat="1" ht="47.25" x14ac:dyDescent="0.25">
      <c r="A60" s="25"/>
      <c r="B60" s="693" t="s">
        <v>672</v>
      </c>
      <c r="C60" s="75" t="s">
        <v>678</v>
      </c>
      <c r="D60" s="76">
        <v>23.692</v>
      </c>
      <c r="E60" s="76">
        <v>30.550999999999998</v>
      </c>
      <c r="F60" s="33">
        <f>D60/E60*100</f>
        <v>77.549016398808561</v>
      </c>
      <c r="G60" s="119"/>
      <c r="H60" s="588"/>
    </row>
    <row r="61" spans="1:11" s="20" customFormat="1" ht="47.25" x14ac:dyDescent="0.25">
      <c r="A61" s="25"/>
      <c r="B61" s="693" t="s">
        <v>673</v>
      </c>
      <c r="C61" s="75" t="s">
        <v>679</v>
      </c>
      <c r="D61" s="76">
        <v>0.317</v>
      </c>
      <c r="E61" s="76">
        <v>0.30399999999999999</v>
      </c>
      <c r="F61" s="33">
        <v>100</v>
      </c>
      <c r="G61" s="119"/>
      <c r="H61" s="588"/>
      <c r="K61" s="138"/>
    </row>
    <row r="62" spans="1:11" s="20" customFormat="1" ht="47.25" x14ac:dyDescent="0.25">
      <c r="A62" s="25"/>
      <c r="B62" s="693" t="s">
        <v>674</v>
      </c>
      <c r="C62" s="75" t="s">
        <v>680</v>
      </c>
      <c r="D62" s="76">
        <v>1.6</v>
      </c>
      <c r="E62" s="76">
        <v>1.9</v>
      </c>
      <c r="F62" s="33">
        <f>D62/E62*100</f>
        <v>84.21052631578948</v>
      </c>
      <c r="G62" s="119"/>
      <c r="H62" s="588"/>
    </row>
    <row r="63" spans="1:11" s="20" customFormat="1" ht="47.25" x14ac:dyDescent="0.25">
      <c r="A63" s="25"/>
      <c r="B63" s="693" t="s">
        <v>675</v>
      </c>
      <c r="C63" s="75" t="s">
        <v>680</v>
      </c>
      <c r="D63" s="76">
        <v>0.32</v>
      </c>
      <c r="E63" s="76">
        <v>0.26</v>
      </c>
      <c r="F63" s="33">
        <v>100</v>
      </c>
      <c r="G63" s="119"/>
      <c r="H63" s="588"/>
      <c r="K63" s="138"/>
    </row>
    <row r="64" spans="1:11" s="20" customFormat="1" ht="47.25" x14ac:dyDescent="0.25">
      <c r="A64" s="25"/>
      <c r="B64" s="693" t="s">
        <v>676</v>
      </c>
      <c r="C64" s="75" t="s">
        <v>680</v>
      </c>
      <c r="D64" s="639">
        <v>6.3E-2</v>
      </c>
      <c r="E64" s="639">
        <v>6.2E-2</v>
      </c>
      <c r="F64" s="33">
        <v>100</v>
      </c>
      <c r="G64" s="119"/>
      <c r="H64" s="588"/>
      <c r="K64" s="138"/>
    </row>
    <row r="65" spans="1:11" s="20" customFormat="1" ht="94.5" x14ac:dyDescent="0.25">
      <c r="A65" s="25"/>
      <c r="B65" s="693" t="s">
        <v>677</v>
      </c>
      <c r="C65" s="75" t="s">
        <v>39</v>
      </c>
      <c r="D65" s="76">
        <v>31</v>
      </c>
      <c r="E65" s="76">
        <v>0</v>
      </c>
      <c r="F65" s="33">
        <v>0</v>
      </c>
      <c r="G65" s="119"/>
      <c r="H65" s="212" t="s">
        <v>1130</v>
      </c>
      <c r="K65" s="23">
        <v>1</v>
      </c>
    </row>
    <row r="66" spans="1:11" s="20" customFormat="1" x14ac:dyDescent="0.25">
      <c r="A66" s="25"/>
      <c r="B66" s="802" t="s">
        <v>681</v>
      </c>
      <c r="C66" s="802"/>
      <c r="D66" s="802"/>
      <c r="E66" s="802"/>
      <c r="F66" s="802"/>
      <c r="G66" s="119"/>
      <c r="H66" s="588"/>
    </row>
    <row r="67" spans="1:11" s="20" customFormat="1" ht="31.5" x14ac:dyDescent="0.25">
      <c r="A67" s="25"/>
      <c r="B67" s="693" t="s">
        <v>682</v>
      </c>
      <c r="C67" s="75" t="s">
        <v>679</v>
      </c>
      <c r="D67" s="76">
        <v>0.33</v>
      </c>
      <c r="E67" s="76">
        <v>0.47</v>
      </c>
      <c r="F67" s="33">
        <f>D67/E67*100</f>
        <v>70.21276595744682</v>
      </c>
      <c r="G67" s="119"/>
      <c r="H67" s="588"/>
    </row>
    <row r="68" spans="1:11" s="20" customFormat="1" ht="31.5" x14ac:dyDescent="0.25">
      <c r="A68" s="25"/>
      <c r="B68" s="693" t="s">
        <v>683</v>
      </c>
      <c r="C68" s="75" t="s">
        <v>680</v>
      </c>
      <c r="D68" s="76">
        <v>1.63</v>
      </c>
      <c r="E68" s="76">
        <v>10.67</v>
      </c>
      <c r="F68" s="33">
        <f>D68/E68*100</f>
        <v>15.276476101218369</v>
      </c>
      <c r="G68" s="119"/>
      <c r="H68" s="588"/>
    </row>
    <row r="69" spans="1:11" s="20" customFormat="1" ht="31.5" x14ac:dyDescent="0.25">
      <c r="A69" s="25"/>
      <c r="B69" s="693" t="s">
        <v>684</v>
      </c>
      <c r="C69" s="75" t="s">
        <v>680</v>
      </c>
      <c r="D69" s="76">
        <v>0.93</v>
      </c>
      <c r="E69" s="76">
        <v>1.27</v>
      </c>
      <c r="F69" s="33">
        <f>D69/E69*100</f>
        <v>73.228346456692918</v>
      </c>
      <c r="G69" s="119"/>
      <c r="H69" s="588"/>
    </row>
    <row r="70" spans="1:11" s="20" customFormat="1" ht="31.5" x14ac:dyDescent="0.25">
      <c r="A70" s="25"/>
      <c r="B70" s="693" t="s">
        <v>685</v>
      </c>
      <c r="C70" s="75" t="s">
        <v>678</v>
      </c>
      <c r="D70" s="76">
        <v>22.81</v>
      </c>
      <c r="E70" s="76">
        <v>26.85</v>
      </c>
      <c r="F70" s="33">
        <f>D70/E70*100</f>
        <v>84.953445065176908</v>
      </c>
      <c r="G70" s="119"/>
      <c r="H70" s="588"/>
    </row>
    <row r="71" spans="1:11" s="20" customFormat="1" ht="47.25" x14ac:dyDescent="0.25">
      <c r="A71" s="25"/>
      <c r="B71" s="693" t="s">
        <v>686</v>
      </c>
      <c r="C71" s="75" t="s">
        <v>689</v>
      </c>
      <c r="D71" s="76">
        <v>0</v>
      </c>
      <c r="E71" s="76">
        <v>0</v>
      </c>
      <c r="F71" s="33"/>
      <c r="G71" s="119"/>
      <c r="H71" s="588"/>
    </row>
    <row r="72" spans="1:11" s="20" customFormat="1" ht="31.5" x14ac:dyDescent="0.25">
      <c r="A72" s="25"/>
      <c r="B72" s="693" t="s">
        <v>687</v>
      </c>
      <c r="C72" s="75" t="s">
        <v>690</v>
      </c>
      <c r="D72" s="76">
        <v>0</v>
      </c>
      <c r="E72" s="76">
        <v>0</v>
      </c>
      <c r="F72" s="33"/>
      <c r="G72" s="119"/>
      <c r="H72" s="588"/>
    </row>
    <row r="73" spans="1:11" s="20" customFormat="1" ht="21.75" customHeight="1" x14ac:dyDescent="0.25">
      <c r="A73" s="25"/>
      <c r="B73" s="693" t="s">
        <v>688</v>
      </c>
      <c r="C73" s="75" t="s">
        <v>691</v>
      </c>
      <c r="D73" s="28">
        <v>0</v>
      </c>
      <c r="E73" s="28">
        <v>0</v>
      </c>
      <c r="F73" s="26"/>
      <c r="G73" s="119"/>
      <c r="H73" s="588"/>
    </row>
    <row r="74" spans="1:11" s="20" customFormat="1" x14ac:dyDescent="0.25">
      <c r="A74" s="25"/>
      <c r="B74" s="802" t="s">
        <v>692</v>
      </c>
      <c r="C74" s="802"/>
      <c r="D74" s="802"/>
      <c r="E74" s="802"/>
      <c r="F74" s="802"/>
      <c r="G74" s="119"/>
      <c r="H74" s="588"/>
    </row>
    <row r="75" spans="1:11" s="20" customFormat="1" ht="31.5" x14ac:dyDescent="0.25">
      <c r="A75" s="25"/>
      <c r="B75" s="694" t="s">
        <v>693</v>
      </c>
      <c r="C75" s="75" t="s">
        <v>700</v>
      </c>
      <c r="D75" s="76">
        <v>0</v>
      </c>
      <c r="E75" s="76">
        <v>0</v>
      </c>
      <c r="F75" s="33"/>
      <c r="G75" s="119"/>
      <c r="H75" s="588"/>
    </row>
    <row r="76" spans="1:11" s="20" customFormat="1" ht="31.5" x14ac:dyDescent="0.25">
      <c r="A76" s="25"/>
      <c r="B76" s="693" t="s">
        <v>694</v>
      </c>
      <c r="C76" s="75" t="s">
        <v>701</v>
      </c>
      <c r="D76" s="76">
        <v>0.18</v>
      </c>
      <c r="E76" s="76">
        <v>0.18</v>
      </c>
      <c r="F76" s="33">
        <v>100</v>
      </c>
      <c r="G76" s="119"/>
      <c r="H76" s="588"/>
      <c r="K76" s="138"/>
    </row>
    <row r="77" spans="1:11" s="20" customFormat="1" ht="31.5" x14ac:dyDescent="0.25">
      <c r="A77" s="25"/>
      <c r="B77" s="693" t="s">
        <v>695</v>
      </c>
      <c r="C77" s="75" t="s">
        <v>702</v>
      </c>
      <c r="D77" s="76">
        <v>0.19</v>
      </c>
      <c r="E77" s="76">
        <v>0.32</v>
      </c>
      <c r="F77" s="33">
        <f>D77/E77*100</f>
        <v>59.375</v>
      </c>
      <c r="G77" s="119"/>
      <c r="H77" s="588"/>
    </row>
    <row r="78" spans="1:11" s="20" customFormat="1" ht="31.5" x14ac:dyDescent="0.25">
      <c r="A78" s="25"/>
      <c r="B78" s="693" t="s">
        <v>696</v>
      </c>
      <c r="C78" s="75" t="s">
        <v>39</v>
      </c>
      <c r="D78" s="76">
        <v>28.08</v>
      </c>
      <c r="E78" s="76">
        <v>36.29</v>
      </c>
      <c r="F78" s="33">
        <f>D78/E78*100</f>
        <v>77.376687792780373</v>
      </c>
      <c r="G78" s="119"/>
      <c r="H78" s="588"/>
    </row>
    <row r="79" spans="1:11" s="20" customFormat="1" ht="31.5" x14ac:dyDescent="0.25">
      <c r="A79" s="25"/>
      <c r="B79" s="693" t="s">
        <v>697</v>
      </c>
      <c r="C79" s="75" t="s">
        <v>39</v>
      </c>
      <c r="D79" s="653">
        <v>0</v>
      </c>
      <c r="E79" s="653">
        <v>0</v>
      </c>
      <c r="F79" s="33"/>
      <c r="G79" s="119"/>
      <c r="H79" s="588"/>
    </row>
    <row r="80" spans="1:11" s="20" customFormat="1" ht="31.5" x14ac:dyDescent="0.25">
      <c r="A80" s="25"/>
      <c r="B80" s="693" t="s">
        <v>698</v>
      </c>
      <c r="C80" s="75" t="s">
        <v>703</v>
      </c>
      <c r="D80" s="653">
        <v>0</v>
      </c>
      <c r="E80" s="653">
        <v>0</v>
      </c>
      <c r="F80" s="33"/>
      <c r="G80" s="119"/>
      <c r="H80" s="588"/>
    </row>
    <row r="81" spans="1:11" s="20" customFormat="1" ht="31.5" x14ac:dyDescent="0.25">
      <c r="A81" s="25"/>
      <c r="B81" s="693" t="s">
        <v>699</v>
      </c>
      <c r="C81" s="75" t="s">
        <v>702</v>
      </c>
      <c r="D81" s="654">
        <v>0</v>
      </c>
      <c r="E81" s="654">
        <v>0</v>
      </c>
      <c r="F81" s="26"/>
      <c r="G81" s="119"/>
      <c r="H81" s="588"/>
    </row>
    <row r="82" spans="1:11" s="20" customFormat="1" x14ac:dyDescent="0.25">
      <c r="A82" s="25"/>
      <c r="B82" s="802" t="s">
        <v>704</v>
      </c>
      <c r="C82" s="802"/>
      <c r="D82" s="802"/>
      <c r="E82" s="802"/>
      <c r="F82" s="802"/>
      <c r="G82" s="119"/>
      <c r="H82" s="588"/>
    </row>
    <row r="83" spans="1:11" s="20" customFormat="1" ht="63" x14ac:dyDescent="0.25">
      <c r="A83" s="25"/>
      <c r="B83" s="694" t="s">
        <v>705</v>
      </c>
      <c r="C83" s="75" t="s">
        <v>706</v>
      </c>
      <c r="D83" s="76">
        <v>5.49</v>
      </c>
      <c r="E83" s="76">
        <v>8.59</v>
      </c>
      <c r="F83" s="33">
        <f>D83/E83*100</f>
        <v>63.911525029103608</v>
      </c>
      <c r="G83" s="119"/>
      <c r="H83" s="588"/>
    </row>
    <row r="84" spans="1:11" s="20" customFormat="1" x14ac:dyDescent="0.25">
      <c r="A84" s="25"/>
      <c r="B84" s="802" t="s">
        <v>707</v>
      </c>
      <c r="C84" s="802"/>
      <c r="D84" s="802"/>
      <c r="E84" s="802"/>
      <c r="F84" s="802"/>
      <c r="G84" s="119"/>
      <c r="H84" s="588"/>
    </row>
    <row r="85" spans="1:11" s="20" customFormat="1" ht="31.5" x14ac:dyDescent="0.25">
      <c r="A85" s="25"/>
      <c r="B85" s="17" t="s">
        <v>708</v>
      </c>
      <c r="C85" s="77" t="s">
        <v>69</v>
      </c>
      <c r="D85" s="76">
        <v>2</v>
      </c>
      <c r="E85" s="76">
        <v>0</v>
      </c>
      <c r="F85" s="33">
        <f>E85/D85*100</f>
        <v>0</v>
      </c>
      <c r="G85" s="119"/>
      <c r="H85" s="588"/>
      <c r="K85" s="23">
        <v>1</v>
      </c>
    </row>
    <row r="86" spans="1:11" s="20" customFormat="1" ht="31.5" x14ac:dyDescent="0.25">
      <c r="A86" s="25"/>
      <c r="B86" s="17" t="s">
        <v>709</v>
      </c>
      <c r="C86" s="77" t="s">
        <v>69</v>
      </c>
      <c r="D86" s="76">
        <v>4</v>
      </c>
      <c r="E86" s="76">
        <v>0</v>
      </c>
      <c r="F86" s="33">
        <f>E86/D86*100</f>
        <v>0</v>
      </c>
      <c r="G86" s="119"/>
      <c r="H86" s="588"/>
      <c r="K86" s="23">
        <v>1</v>
      </c>
    </row>
    <row r="87" spans="1:11" s="20" customFormat="1" ht="31.5" x14ac:dyDescent="0.25">
      <c r="A87" s="25"/>
      <c r="B87" s="17" t="s">
        <v>710</v>
      </c>
      <c r="C87" s="77" t="s">
        <v>69</v>
      </c>
      <c r="D87" s="76">
        <v>4</v>
      </c>
      <c r="E87" s="76">
        <v>3</v>
      </c>
      <c r="F87" s="33">
        <f>E87/D87*100</f>
        <v>75</v>
      </c>
      <c r="G87" s="119"/>
      <c r="H87" s="212" t="s">
        <v>1131</v>
      </c>
    </row>
    <row r="88" spans="1:11" s="34" customFormat="1" ht="34.5" customHeight="1" x14ac:dyDescent="0.25">
      <c r="A88" s="279">
        <v>4</v>
      </c>
      <c r="B88" s="799" t="str">
        <f>свод!B186</f>
        <v xml:space="preserve">Муниципальная программа «Развитие сельскохозяйственного производства Горного улуса РС(Я) на 2021-2025 годы» </v>
      </c>
      <c r="C88" s="799"/>
      <c r="D88" s="799"/>
      <c r="E88" s="803"/>
      <c r="F88" s="803"/>
      <c r="G88" s="591">
        <f>AVERAGE(F92:F99,F101:F106,F110:F112,F114:F116,F118:F120,F122:F123,F127,F129:F130,F136,F137,F144,F145,F139,F140,F142)</f>
        <v>87.947664677806927</v>
      </c>
      <c r="H88" s="215"/>
    </row>
    <row r="89" spans="1:11" s="31" customFormat="1" x14ac:dyDescent="0.25">
      <c r="A89" s="32"/>
      <c r="B89" s="810" t="s">
        <v>948</v>
      </c>
      <c r="C89" s="810"/>
      <c r="D89" s="810"/>
      <c r="E89" s="834"/>
      <c r="F89" s="834"/>
      <c r="G89" s="196"/>
      <c r="H89" s="216"/>
    </row>
    <row r="90" spans="1:11" s="31" customFormat="1" x14ac:dyDescent="0.25">
      <c r="A90" s="32"/>
      <c r="B90" s="795" t="s">
        <v>203</v>
      </c>
      <c r="C90" s="795"/>
      <c r="D90" s="795"/>
      <c r="E90" s="795"/>
      <c r="F90" s="795"/>
      <c r="G90" s="32"/>
      <c r="H90" s="216"/>
    </row>
    <row r="91" spans="1:11" s="31" customFormat="1" x14ac:dyDescent="0.25">
      <c r="A91" s="32"/>
      <c r="B91" s="829" t="s">
        <v>204</v>
      </c>
      <c r="C91" s="829"/>
      <c r="D91" s="829"/>
      <c r="E91" s="829"/>
      <c r="F91" s="829"/>
      <c r="G91" s="32"/>
      <c r="H91" s="216"/>
    </row>
    <row r="92" spans="1:11" s="31" customFormat="1" x14ac:dyDescent="0.25">
      <c r="A92" s="32"/>
      <c r="B92" s="695" t="s">
        <v>205</v>
      </c>
      <c r="C92" s="663" t="s">
        <v>206</v>
      </c>
      <c r="D92" s="663">
        <v>4783</v>
      </c>
      <c r="E92" s="197">
        <v>4606</v>
      </c>
      <c r="F92" s="33">
        <f t="shared" ref="F92:F103" si="0">E92/D92*100</f>
        <v>96.29939368597114</v>
      </c>
      <c r="G92" s="32"/>
      <c r="H92" s="216" t="s">
        <v>1129</v>
      </c>
    </row>
    <row r="93" spans="1:11" s="31" customFormat="1" x14ac:dyDescent="0.25">
      <c r="A93" s="32"/>
      <c r="B93" s="695" t="s">
        <v>207</v>
      </c>
      <c r="C93" s="663" t="s">
        <v>206</v>
      </c>
      <c r="D93" s="198">
        <v>2132</v>
      </c>
      <c r="E93" s="197">
        <v>2175</v>
      </c>
      <c r="F93" s="33">
        <v>100</v>
      </c>
      <c r="G93" s="32"/>
      <c r="H93" s="216" t="s">
        <v>1129</v>
      </c>
      <c r="K93" s="138"/>
    </row>
    <row r="94" spans="1:11" s="31" customFormat="1" x14ac:dyDescent="0.25">
      <c r="A94" s="32"/>
      <c r="B94" s="695" t="s">
        <v>208</v>
      </c>
      <c r="C94" s="663" t="s">
        <v>206</v>
      </c>
      <c r="D94" s="198">
        <v>4714</v>
      </c>
      <c r="E94" s="197">
        <v>4721</v>
      </c>
      <c r="F94" s="33">
        <f t="shared" si="0"/>
        <v>100.148493848112</v>
      </c>
      <c r="G94" s="32"/>
      <c r="H94" s="216" t="s">
        <v>1129</v>
      </c>
      <c r="K94" s="138"/>
    </row>
    <row r="95" spans="1:11" s="31" customFormat="1" x14ac:dyDescent="0.25">
      <c r="A95" s="32"/>
      <c r="B95" s="695" t="s">
        <v>209</v>
      </c>
      <c r="C95" s="663" t="s">
        <v>206</v>
      </c>
      <c r="D95" s="199">
        <v>2970</v>
      </c>
      <c r="E95" s="197">
        <v>3259</v>
      </c>
      <c r="F95" s="33">
        <v>100</v>
      </c>
      <c r="G95" s="32"/>
      <c r="H95" s="216" t="s">
        <v>1129</v>
      </c>
      <c r="K95" s="138"/>
    </row>
    <row r="96" spans="1:11" s="31" customFormat="1" x14ac:dyDescent="0.25">
      <c r="A96" s="32"/>
      <c r="B96" s="695" t="s">
        <v>210</v>
      </c>
      <c r="C96" s="663" t="s">
        <v>206</v>
      </c>
      <c r="D96" s="663">
        <v>21</v>
      </c>
      <c r="E96" s="197">
        <v>12</v>
      </c>
      <c r="F96" s="33">
        <f t="shared" si="0"/>
        <v>57.142857142857139</v>
      </c>
      <c r="G96" s="32"/>
      <c r="H96" s="216" t="s">
        <v>1129</v>
      </c>
    </row>
    <row r="97" spans="1:11" s="117" customFormat="1" x14ac:dyDescent="0.25">
      <c r="A97" s="32"/>
      <c r="B97" s="695" t="s">
        <v>943</v>
      </c>
      <c r="C97" s="663" t="s">
        <v>206</v>
      </c>
      <c r="D97" s="663">
        <v>15</v>
      </c>
      <c r="E97" s="549">
        <v>8</v>
      </c>
      <c r="F97" s="33">
        <f t="shared" si="0"/>
        <v>53.333333333333336</v>
      </c>
      <c r="G97" s="32"/>
      <c r="H97" s="216" t="s">
        <v>1129</v>
      </c>
    </row>
    <row r="98" spans="1:11" s="31" customFormat="1" x14ac:dyDescent="0.25">
      <c r="A98" s="32"/>
      <c r="B98" s="695" t="s">
        <v>211</v>
      </c>
      <c r="C98" s="663" t="s">
        <v>206</v>
      </c>
      <c r="D98" s="198">
        <v>1085</v>
      </c>
      <c r="E98" s="197">
        <v>644</v>
      </c>
      <c r="F98" s="33">
        <f t="shared" si="0"/>
        <v>59.354838709677416</v>
      </c>
      <c r="G98" s="32"/>
      <c r="H98" s="216" t="s">
        <v>1129</v>
      </c>
    </row>
    <row r="99" spans="1:11" s="31" customFormat="1" x14ac:dyDescent="0.25">
      <c r="A99" s="32"/>
      <c r="B99" s="695" t="s">
        <v>212</v>
      </c>
      <c r="C99" s="663" t="s">
        <v>206</v>
      </c>
      <c r="D99" s="198">
        <v>1132</v>
      </c>
      <c r="E99" s="197">
        <v>886</v>
      </c>
      <c r="F99" s="33">
        <f t="shared" si="0"/>
        <v>78.268551236749119</v>
      </c>
      <c r="G99" s="32"/>
      <c r="H99" s="216"/>
    </row>
    <row r="100" spans="1:11" s="31" customFormat="1" x14ac:dyDescent="0.25">
      <c r="A100" s="32"/>
      <c r="B100" s="829" t="s">
        <v>213</v>
      </c>
      <c r="C100" s="829"/>
      <c r="D100" s="829"/>
      <c r="E100" s="829"/>
      <c r="F100" s="829"/>
      <c r="G100" s="32"/>
      <c r="H100" s="216"/>
    </row>
    <row r="101" spans="1:11" s="31" customFormat="1" x14ac:dyDescent="0.25">
      <c r="A101" s="32"/>
      <c r="B101" s="695" t="s">
        <v>214</v>
      </c>
      <c r="C101" s="663" t="s">
        <v>215</v>
      </c>
      <c r="D101" s="202">
        <v>838.6</v>
      </c>
      <c r="E101" s="200">
        <v>991.2</v>
      </c>
      <c r="F101" s="33">
        <v>100</v>
      </c>
      <c r="G101" s="32"/>
      <c r="H101" s="216" t="s">
        <v>1129</v>
      </c>
      <c r="K101" s="138"/>
    </row>
    <row r="102" spans="1:11" s="31" customFormat="1" x14ac:dyDescent="0.25">
      <c r="A102" s="32"/>
      <c r="B102" s="695" t="s">
        <v>944</v>
      </c>
      <c r="C102" s="663" t="s">
        <v>215</v>
      </c>
      <c r="D102" s="202">
        <v>119</v>
      </c>
      <c r="E102" s="200">
        <v>58.4</v>
      </c>
      <c r="F102" s="33">
        <f t="shared" si="0"/>
        <v>49.075630252100837</v>
      </c>
      <c r="G102" s="32"/>
      <c r="H102" s="216" t="s">
        <v>1129</v>
      </c>
    </row>
    <row r="103" spans="1:11" s="31" customFormat="1" x14ac:dyDescent="0.25">
      <c r="A103" s="32"/>
      <c r="B103" s="695" t="s">
        <v>216</v>
      </c>
      <c r="C103" s="663" t="s">
        <v>215</v>
      </c>
      <c r="D103" s="200">
        <v>3569.5</v>
      </c>
      <c r="E103" s="200">
        <v>3380.3</v>
      </c>
      <c r="F103" s="33">
        <f t="shared" si="0"/>
        <v>94.699537750385204</v>
      </c>
      <c r="G103" s="32"/>
      <c r="H103" s="216"/>
    </row>
    <row r="104" spans="1:11" s="31" customFormat="1" x14ac:dyDescent="0.25">
      <c r="A104" s="32"/>
      <c r="B104" s="695" t="s">
        <v>217</v>
      </c>
      <c r="C104" s="663" t="s">
        <v>215</v>
      </c>
      <c r="D104" s="200">
        <v>2308.9</v>
      </c>
      <c r="E104" s="200">
        <v>2358.84</v>
      </c>
      <c r="F104" s="33">
        <v>100</v>
      </c>
      <c r="G104" s="32"/>
      <c r="H104" s="216"/>
      <c r="K104" s="138"/>
    </row>
    <row r="105" spans="1:11" s="31" customFormat="1" x14ac:dyDescent="0.25">
      <c r="A105" s="32"/>
      <c r="B105" s="695" t="s">
        <v>945</v>
      </c>
      <c r="C105" s="663" t="s">
        <v>218</v>
      </c>
      <c r="D105" s="200">
        <v>1518</v>
      </c>
      <c r="E105" s="200">
        <v>1554.16</v>
      </c>
      <c r="F105" s="33">
        <v>100</v>
      </c>
      <c r="G105" s="32"/>
      <c r="H105" s="216"/>
      <c r="K105" s="138"/>
    </row>
    <row r="106" spans="1:11" s="31" customFormat="1" x14ac:dyDescent="0.25">
      <c r="A106" s="32"/>
      <c r="B106" s="695" t="s">
        <v>219</v>
      </c>
      <c r="C106" s="663" t="s">
        <v>220</v>
      </c>
      <c r="D106" s="202">
        <v>422.9</v>
      </c>
      <c r="E106" s="202">
        <v>452.6</v>
      </c>
      <c r="F106" s="33">
        <v>100</v>
      </c>
      <c r="G106" s="32"/>
      <c r="H106" s="216" t="s">
        <v>1129</v>
      </c>
      <c r="K106" s="138"/>
    </row>
    <row r="107" spans="1:11" s="31" customFormat="1" x14ac:dyDescent="0.25">
      <c r="A107" s="32"/>
      <c r="B107" s="832" t="s">
        <v>221</v>
      </c>
      <c r="C107" s="832"/>
      <c r="D107" s="832"/>
      <c r="E107" s="832"/>
      <c r="F107" s="832"/>
      <c r="G107" s="32"/>
      <c r="H107" s="216"/>
    </row>
    <row r="108" spans="1:11" s="31" customFormat="1" x14ac:dyDescent="0.25">
      <c r="A108" s="32"/>
      <c r="B108" s="792" t="s">
        <v>222</v>
      </c>
      <c r="C108" s="792"/>
      <c r="D108" s="792"/>
      <c r="E108" s="792"/>
      <c r="F108" s="792"/>
      <c r="G108" s="32"/>
      <c r="H108" s="216"/>
    </row>
    <row r="109" spans="1:11" s="31" customFormat="1" x14ac:dyDescent="0.25">
      <c r="A109" s="32"/>
      <c r="B109" s="792" t="s">
        <v>223</v>
      </c>
      <c r="C109" s="792"/>
      <c r="D109" s="792"/>
      <c r="E109" s="792"/>
      <c r="F109" s="792"/>
      <c r="G109" s="32"/>
      <c r="H109" s="216"/>
    </row>
    <row r="110" spans="1:11" s="31" customFormat="1" x14ac:dyDescent="0.25">
      <c r="A110" s="32"/>
      <c r="B110" s="665" t="s">
        <v>224</v>
      </c>
      <c r="C110" s="666" t="s">
        <v>225</v>
      </c>
      <c r="D110" s="667">
        <v>30.6</v>
      </c>
      <c r="E110" s="663">
        <v>30.64</v>
      </c>
      <c r="F110" s="33">
        <f>E110/D110*100</f>
        <v>100.13071895424837</v>
      </c>
      <c r="G110" s="32"/>
      <c r="H110" s="216"/>
      <c r="K110" s="138"/>
    </row>
    <row r="111" spans="1:11" s="31" customFormat="1" x14ac:dyDescent="0.25">
      <c r="A111" s="32"/>
      <c r="B111" s="665" t="s">
        <v>226</v>
      </c>
      <c r="C111" s="666" t="s">
        <v>225</v>
      </c>
      <c r="D111" s="667">
        <v>10.9</v>
      </c>
      <c r="E111" s="200">
        <v>10.98</v>
      </c>
      <c r="F111" s="33">
        <v>100</v>
      </c>
      <c r="G111" s="32"/>
      <c r="H111" s="216"/>
      <c r="K111" s="138"/>
    </row>
    <row r="112" spans="1:11" s="31" customFormat="1" x14ac:dyDescent="0.25">
      <c r="A112" s="32"/>
      <c r="B112" s="665" t="s">
        <v>227</v>
      </c>
      <c r="C112" s="666" t="s">
        <v>225</v>
      </c>
      <c r="D112" s="667">
        <v>2.5</v>
      </c>
      <c r="E112" s="200">
        <v>2.6</v>
      </c>
      <c r="F112" s="33">
        <v>100</v>
      </c>
      <c r="G112" s="32"/>
      <c r="H112" s="216"/>
      <c r="K112" s="138"/>
    </row>
    <row r="113" spans="1:11" s="31" customFormat="1" x14ac:dyDescent="0.25">
      <c r="A113" s="32"/>
      <c r="B113" s="792" t="s">
        <v>228</v>
      </c>
      <c r="C113" s="792"/>
      <c r="D113" s="792"/>
      <c r="E113" s="792"/>
      <c r="F113" s="792"/>
      <c r="G113" s="32"/>
      <c r="H113" s="216"/>
    </row>
    <row r="114" spans="1:11" s="31" customFormat="1" x14ac:dyDescent="0.25">
      <c r="A114" s="32"/>
      <c r="B114" s="665" t="s">
        <v>224</v>
      </c>
      <c r="C114" s="666" t="s">
        <v>229</v>
      </c>
      <c r="D114" s="203">
        <v>2237</v>
      </c>
      <c r="E114" s="548">
        <v>2207.5300000000002</v>
      </c>
      <c r="F114" s="33">
        <f>E114/D114*100</f>
        <v>98.682610639249006</v>
      </c>
      <c r="G114" s="32"/>
      <c r="H114" s="216"/>
    </row>
    <row r="115" spans="1:11" s="31" customFormat="1" x14ac:dyDescent="0.25">
      <c r="A115" s="32"/>
      <c r="B115" s="665" t="s">
        <v>226</v>
      </c>
      <c r="C115" s="666" t="s">
        <v>229</v>
      </c>
      <c r="D115" s="663">
        <v>2407</v>
      </c>
      <c r="E115" s="198">
        <v>2387.46</v>
      </c>
      <c r="F115" s="33">
        <f>E115/D115*100</f>
        <v>99.188201080182807</v>
      </c>
      <c r="G115" s="32"/>
      <c r="H115" s="216"/>
    </row>
    <row r="116" spans="1:11" s="31" customFormat="1" x14ac:dyDescent="0.25">
      <c r="A116" s="32"/>
      <c r="B116" s="665" t="s">
        <v>227</v>
      </c>
      <c r="C116" s="666" t="s">
        <v>229</v>
      </c>
      <c r="D116" s="663">
        <v>560</v>
      </c>
      <c r="E116" s="198">
        <v>560.5</v>
      </c>
      <c r="F116" s="33">
        <f>E116/D116*100</f>
        <v>100.08928571428572</v>
      </c>
      <c r="G116" s="32"/>
      <c r="H116" s="216"/>
      <c r="K116" s="138"/>
    </row>
    <row r="117" spans="1:11" s="31" customFormat="1" x14ac:dyDescent="0.25">
      <c r="A117" s="32"/>
      <c r="B117" s="792" t="s">
        <v>230</v>
      </c>
      <c r="C117" s="792"/>
      <c r="D117" s="792"/>
      <c r="E117" s="792"/>
      <c r="F117" s="792"/>
      <c r="G117" s="32"/>
      <c r="H117" s="216"/>
    </row>
    <row r="118" spans="1:11" s="31" customFormat="1" x14ac:dyDescent="0.25">
      <c r="A118" s="32"/>
      <c r="B118" s="665" t="s">
        <v>224</v>
      </c>
      <c r="C118" s="666" t="s">
        <v>231</v>
      </c>
      <c r="D118" s="202">
        <v>73.099999999999994</v>
      </c>
      <c r="E118" s="202">
        <v>72.06</v>
      </c>
      <c r="F118" s="33">
        <f>E118/D118*100</f>
        <v>98.577291381668957</v>
      </c>
      <c r="G118" s="32"/>
      <c r="H118" s="216"/>
    </row>
    <row r="119" spans="1:11" s="31" customFormat="1" x14ac:dyDescent="0.25">
      <c r="A119" s="32"/>
      <c r="B119" s="665" t="s">
        <v>226</v>
      </c>
      <c r="C119" s="666" t="s">
        <v>231</v>
      </c>
      <c r="D119" s="202">
        <v>220.83</v>
      </c>
      <c r="E119" s="202">
        <v>217.48</v>
      </c>
      <c r="F119" s="33">
        <f>E119/D119*100</f>
        <v>98.482995969750476</v>
      </c>
      <c r="G119" s="32"/>
      <c r="H119" s="216"/>
    </row>
    <row r="120" spans="1:11" s="31" customFormat="1" x14ac:dyDescent="0.25">
      <c r="A120" s="32"/>
      <c r="B120" s="665" t="s">
        <v>227</v>
      </c>
      <c r="C120" s="666" t="s">
        <v>231</v>
      </c>
      <c r="D120" s="202">
        <v>2.2400000000000002</v>
      </c>
      <c r="E120" s="202">
        <f>E116/E112/100</f>
        <v>2.1557692307692307</v>
      </c>
      <c r="F120" s="33">
        <f>E120/D120*100</f>
        <v>96.239697802197782</v>
      </c>
      <c r="G120" s="32"/>
      <c r="H120" s="216"/>
    </row>
    <row r="121" spans="1:11" s="31" customFormat="1" x14ac:dyDescent="0.25">
      <c r="A121" s="32"/>
      <c r="B121" s="792" t="s">
        <v>232</v>
      </c>
      <c r="C121" s="792"/>
      <c r="D121" s="792"/>
      <c r="E121" s="792"/>
      <c r="F121" s="792"/>
      <c r="G121" s="32"/>
      <c r="H121" s="216"/>
    </row>
    <row r="122" spans="1:11" s="31" customFormat="1" x14ac:dyDescent="0.25">
      <c r="A122" s="32"/>
      <c r="B122" s="696" t="s">
        <v>233</v>
      </c>
      <c r="C122" s="663" t="s">
        <v>215</v>
      </c>
      <c r="D122" s="663">
        <v>12842</v>
      </c>
      <c r="E122" s="201">
        <v>12030.4</v>
      </c>
      <c r="F122" s="33">
        <f>E122/D122*100</f>
        <v>93.680112132066654</v>
      </c>
      <c r="G122" s="32"/>
      <c r="H122" s="216" t="s">
        <v>1129</v>
      </c>
    </row>
    <row r="123" spans="1:11" s="31" customFormat="1" x14ac:dyDescent="0.25">
      <c r="A123" s="32"/>
      <c r="B123" s="696" t="s">
        <v>234</v>
      </c>
      <c r="C123" s="663" t="s">
        <v>215</v>
      </c>
      <c r="D123" s="663">
        <v>790</v>
      </c>
      <c r="E123" s="198">
        <v>224</v>
      </c>
      <c r="F123" s="33">
        <f>E123/D123*100</f>
        <v>28.354430379746837</v>
      </c>
      <c r="G123" s="32"/>
      <c r="H123" s="216" t="s">
        <v>1129</v>
      </c>
    </row>
    <row r="124" spans="1:11" s="31" customFormat="1" x14ac:dyDescent="0.25">
      <c r="A124" s="32"/>
      <c r="B124" s="793" t="s">
        <v>235</v>
      </c>
      <c r="C124" s="793"/>
      <c r="D124" s="793"/>
      <c r="E124" s="793"/>
      <c r="F124" s="793"/>
      <c r="G124" s="793"/>
      <c r="H124" s="216"/>
    </row>
    <row r="125" spans="1:11" s="31" customFormat="1" x14ac:dyDescent="0.25">
      <c r="A125" s="32"/>
      <c r="B125" s="697" t="s">
        <v>947</v>
      </c>
      <c r="C125" s="198" t="s">
        <v>69</v>
      </c>
      <c r="D125" s="667">
        <v>0</v>
      </c>
      <c r="E125" s="198">
        <v>0</v>
      </c>
      <c r="F125" s="33"/>
      <c r="G125" s="32"/>
      <c r="H125" s="216"/>
    </row>
    <row r="126" spans="1:11" s="31" customFormat="1" ht="16.5" customHeight="1" x14ac:dyDescent="0.25">
      <c r="A126" s="32"/>
      <c r="B126" s="695" t="s">
        <v>946</v>
      </c>
      <c r="C126" s="663" t="s">
        <v>198</v>
      </c>
      <c r="D126" s="666">
        <v>0</v>
      </c>
      <c r="E126" s="198">
        <v>0</v>
      </c>
      <c r="F126" s="33"/>
      <c r="G126" s="32"/>
      <c r="H126" s="216"/>
    </row>
    <row r="127" spans="1:11" s="31" customFormat="1" x14ac:dyDescent="0.25">
      <c r="A127" s="32"/>
      <c r="B127" s="695" t="s">
        <v>236</v>
      </c>
      <c r="C127" s="663" t="s">
        <v>215</v>
      </c>
      <c r="D127" s="666">
        <v>35.4</v>
      </c>
      <c r="E127" s="201">
        <v>35.424999999999997</v>
      </c>
      <c r="F127" s="33">
        <v>100</v>
      </c>
      <c r="G127" s="32"/>
      <c r="H127" s="216"/>
      <c r="K127" s="138"/>
    </row>
    <row r="128" spans="1:11" s="31" customFormat="1" x14ac:dyDescent="0.25">
      <c r="A128" s="32"/>
      <c r="B128" s="793" t="s">
        <v>237</v>
      </c>
      <c r="C128" s="793"/>
      <c r="D128" s="793"/>
      <c r="E128" s="793"/>
      <c r="F128" s="793"/>
      <c r="G128" s="793"/>
      <c r="H128" s="216"/>
    </row>
    <row r="129" spans="1:11" s="31" customFormat="1" ht="31.5" x14ac:dyDescent="0.25">
      <c r="A129" s="32"/>
      <c r="B129" s="696" t="s">
        <v>908</v>
      </c>
      <c r="C129" s="663" t="s">
        <v>238</v>
      </c>
      <c r="D129" s="663">
        <v>250</v>
      </c>
      <c r="E129" s="33">
        <v>250</v>
      </c>
      <c r="F129" s="33">
        <v>100</v>
      </c>
      <c r="G129" s="32"/>
      <c r="H129" s="216"/>
      <c r="K129" s="138"/>
    </row>
    <row r="130" spans="1:11" s="117" customFormat="1" x14ac:dyDescent="0.25">
      <c r="A130" s="32"/>
      <c r="B130" s="696" t="s">
        <v>843</v>
      </c>
      <c r="C130" s="663" t="s">
        <v>238</v>
      </c>
      <c r="D130" s="663">
        <v>31</v>
      </c>
      <c r="E130" s="33">
        <v>44</v>
      </c>
      <c r="F130" s="33">
        <v>100</v>
      </c>
      <c r="G130" s="32"/>
      <c r="H130" s="216"/>
      <c r="K130" s="138"/>
    </row>
    <row r="131" spans="1:11" s="31" customFormat="1" x14ac:dyDescent="0.25">
      <c r="A131" s="32"/>
      <c r="B131" s="793" t="s">
        <v>239</v>
      </c>
      <c r="C131" s="793"/>
      <c r="D131" s="793"/>
      <c r="E131" s="793"/>
      <c r="F131" s="793"/>
      <c r="G131" s="793"/>
      <c r="H131" s="216"/>
    </row>
    <row r="132" spans="1:11" s="31" customFormat="1" x14ac:dyDescent="0.25">
      <c r="A132" s="32"/>
      <c r="B132" s="793" t="s">
        <v>240</v>
      </c>
      <c r="C132" s="793"/>
      <c r="D132" s="793"/>
      <c r="E132" s="793"/>
      <c r="F132" s="793"/>
      <c r="G132" s="793"/>
      <c r="H132" s="216"/>
    </row>
    <row r="133" spans="1:11" s="31" customFormat="1" x14ac:dyDescent="0.25">
      <c r="A133" s="32"/>
      <c r="B133" s="793" t="s">
        <v>241</v>
      </c>
      <c r="C133" s="793"/>
      <c r="D133" s="793"/>
      <c r="E133" s="793"/>
      <c r="F133" s="793"/>
      <c r="G133" s="793"/>
      <c r="H133" s="216"/>
    </row>
    <row r="134" spans="1:11" s="31" customFormat="1" x14ac:dyDescent="0.25">
      <c r="A134" s="32"/>
      <c r="B134" s="698" t="s">
        <v>242</v>
      </c>
      <c r="C134" s="663" t="s">
        <v>215</v>
      </c>
      <c r="D134" s="663"/>
      <c r="E134" s="204"/>
      <c r="F134" s="589"/>
      <c r="G134" s="32"/>
      <c r="H134" s="216"/>
    </row>
    <row r="135" spans="1:11" s="31" customFormat="1" x14ac:dyDescent="0.25">
      <c r="A135" s="32"/>
      <c r="B135" s="793" t="s">
        <v>243</v>
      </c>
      <c r="C135" s="793"/>
      <c r="D135" s="793"/>
      <c r="E135" s="793"/>
      <c r="F135" s="793"/>
      <c r="G135" s="793"/>
      <c r="H135" s="216"/>
    </row>
    <row r="136" spans="1:11" s="31" customFormat="1" ht="31.5" x14ac:dyDescent="0.25">
      <c r="A136" s="32"/>
      <c r="B136" s="698" t="s">
        <v>244</v>
      </c>
      <c r="C136" s="663" t="s">
        <v>215</v>
      </c>
      <c r="D136" s="663">
        <v>142.27000000000001</v>
      </c>
      <c r="E136" s="204">
        <v>120.5</v>
      </c>
      <c r="F136" s="33">
        <f>E136/D136*100</f>
        <v>84.698109228930889</v>
      </c>
      <c r="G136" s="32"/>
      <c r="H136" s="216"/>
    </row>
    <row r="137" spans="1:11" s="31" customFormat="1" x14ac:dyDescent="0.25">
      <c r="A137" s="32"/>
      <c r="B137" s="698" t="s">
        <v>245</v>
      </c>
      <c r="C137" s="663" t="s">
        <v>215</v>
      </c>
      <c r="D137" s="663">
        <v>34.880000000000003</v>
      </c>
      <c r="E137" s="202">
        <v>46.45</v>
      </c>
      <c r="F137" s="33">
        <v>100</v>
      </c>
      <c r="G137" s="32"/>
      <c r="H137" s="216"/>
      <c r="K137" s="138"/>
    </row>
    <row r="138" spans="1:11" s="117" customFormat="1" x14ac:dyDescent="0.25">
      <c r="A138" s="32"/>
      <c r="B138" s="793" t="s">
        <v>246</v>
      </c>
      <c r="C138" s="793"/>
      <c r="D138" s="793"/>
      <c r="E138" s="793"/>
      <c r="F138" s="793"/>
      <c r="G138" s="793"/>
      <c r="H138" s="216"/>
    </row>
    <row r="139" spans="1:11" s="117" customFormat="1" ht="31.5" x14ac:dyDescent="0.25">
      <c r="A139" s="32"/>
      <c r="B139" s="695" t="s">
        <v>247</v>
      </c>
      <c r="C139" s="663" t="s">
        <v>215</v>
      </c>
      <c r="D139" s="663">
        <v>48.4</v>
      </c>
      <c r="E139" s="663">
        <v>56.7</v>
      </c>
      <c r="F139" s="33">
        <v>100</v>
      </c>
      <c r="G139" s="32"/>
      <c r="H139" s="642" t="s">
        <v>1129</v>
      </c>
      <c r="K139" s="138"/>
    </row>
    <row r="140" spans="1:11" s="117" customFormat="1" x14ac:dyDescent="0.25">
      <c r="A140" s="32"/>
      <c r="B140" s="695" t="s">
        <v>844</v>
      </c>
      <c r="C140" s="663" t="s">
        <v>215</v>
      </c>
      <c r="D140" s="663">
        <v>21.6</v>
      </c>
      <c r="E140" s="663">
        <v>4.5</v>
      </c>
      <c r="F140" s="33">
        <f>E140/D140*100</f>
        <v>20.833333333333332</v>
      </c>
      <c r="G140" s="32"/>
      <c r="H140" s="216"/>
    </row>
    <row r="141" spans="1:11" s="117" customFormat="1" ht="15.75" hidden="1" customHeight="1" x14ac:dyDescent="0.25">
      <c r="A141" s="32"/>
      <c r="B141" s="793" t="s">
        <v>949</v>
      </c>
      <c r="C141" s="793"/>
      <c r="D141" s="793"/>
      <c r="E141" s="793"/>
      <c r="F141" s="793"/>
      <c r="G141" s="793"/>
      <c r="H141" s="216"/>
    </row>
    <row r="142" spans="1:11" s="117" customFormat="1" ht="15.75" hidden="1" customHeight="1" x14ac:dyDescent="0.25">
      <c r="A142" s="32"/>
      <c r="B142" s="695" t="s">
        <v>950</v>
      </c>
      <c r="C142" s="663" t="s">
        <v>215</v>
      </c>
      <c r="D142" s="663"/>
      <c r="E142" s="663"/>
      <c r="F142" s="33"/>
      <c r="G142" s="32"/>
      <c r="H142" s="216"/>
    </row>
    <row r="143" spans="1:11" s="31" customFormat="1" x14ac:dyDescent="0.25">
      <c r="A143" s="32"/>
      <c r="B143" s="793" t="s">
        <v>951</v>
      </c>
      <c r="C143" s="793"/>
      <c r="D143" s="793"/>
      <c r="E143" s="793"/>
      <c r="F143" s="793"/>
      <c r="G143" s="793"/>
      <c r="H143" s="216"/>
    </row>
    <row r="144" spans="1:11" s="31" customFormat="1" x14ac:dyDescent="0.25">
      <c r="A144" s="32"/>
      <c r="B144" s="695" t="s">
        <v>952</v>
      </c>
      <c r="C144" s="663" t="s">
        <v>39</v>
      </c>
      <c r="D144" s="663">
        <v>17</v>
      </c>
      <c r="E144" s="663">
        <v>14.1</v>
      </c>
      <c r="F144" s="33">
        <f>E144/D144*100</f>
        <v>82.941176470588232</v>
      </c>
      <c r="G144" s="32"/>
      <c r="H144" s="216"/>
    </row>
    <row r="145" spans="1:11" s="117" customFormat="1" x14ac:dyDescent="0.25">
      <c r="A145" s="32"/>
      <c r="B145" s="695" t="s">
        <v>953</v>
      </c>
      <c r="C145" s="663" t="s">
        <v>39</v>
      </c>
      <c r="D145" s="663">
        <v>17.600000000000001</v>
      </c>
      <c r="E145" s="663">
        <v>57.9</v>
      </c>
      <c r="F145" s="33">
        <v>100</v>
      </c>
      <c r="G145" s="32"/>
      <c r="H145" s="216"/>
      <c r="K145" s="138"/>
    </row>
    <row r="146" spans="1:11" s="108" customFormat="1" ht="30" customHeight="1" x14ac:dyDescent="0.25">
      <c r="A146" s="279">
        <v>5</v>
      </c>
      <c r="B146" s="799" t="str">
        <f>свод!B161</f>
        <v>Муниципальная программа «Управление муниципальной собственностью МР "Горный улус"  на 2020-2024 годы»</v>
      </c>
      <c r="C146" s="799"/>
      <c r="D146" s="799"/>
      <c r="E146" s="799"/>
      <c r="F146" s="799"/>
      <c r="G146" s="591">
        <f>AVERAGE(F150:F151,F153:F155,F158,F159,F161,F162,F163,F166,F167)</f>
        <v>99.241711229946517</v>
      </c>
      <c r="H146" s="217"/>
    </row>
    <row r="147" spans="1:11" ht="33.75" customHeight="1" x14ac:dyDescent="0.25">
      <c r="A147" s="25"/>
      <c r="B147" s="810" t="s">
        <v>248</v>
      </c>
      <c r="C147" s="810"/>
      <c r="D147" s="810"/>
      <c r="E147" s="810"/>
      <c r="F147" s="810"/>
      <c r="G147" s="699"/>
    </row>
    <row r="148" spans="1:11" x14ac:dyDescent="0.25">
      <c r="A148" s="25"/>
      <c r="B148" s="832" t="s">
        <v>249</v>
      </c>
      <c r="C148" s="832"/>
      <c r="D148" s="832"/>
      <c r="E148" s="832"/>
      <c r="F148" s="832"/>
      <c r="G148" s="699"/>
    </row>
    <row r="149" spans="1:11" x14ac:dyDescent="0.25">
      <c r="A149" s="25"/>
      <c r="B149" s="832" t="s">
        <v>250</v>
      </c>
      <c r="C149" s="832"/>
      <c r="D149" s="832"/>
      <c r="E149" s="832"/>
      <c r="F149" s="832"/>
      <c r="G149" s="699"/>
    </row>
    <row r="150" spans="1:11" ht="201.75" customHeight="1" x14ac:dyDescent="0.25">
      <c r="A150" s="25"/>
      <c r="B150" s="660" t="s">
        <v>251</v>
      </c>
      <c r="C150" s="664" t="s">
        <v>69</v>
      </c>
      <c r="D150" s="661">
        <v>12</v>
      </c>
      <c r="E150" s="666">
        <v>15</v>
      </c>
      <c r="F150" s="589">
        <v>100</v>
      </c>
      <c r="G150" s="32"/>
      <c r="H150" s="669" t="s">
        <v>1125</v>
      </c>
      <c r="K150" s="138"/>
    </row>
    <row r="151" spans="1:11" s="138" customFormat="1" ht="47.25" x14ac:dyDescent="0.25">
      <c r="A151" s="25"/>
      <c r="B151" s="660" t="s">
        <v>1046</v>
      </c>
      <c r="C151" s="664" t="s">
        <v>1047</v>
      </c>
      <c r="D151" s="661">
        <v>15.65</v>
      </c>
      <c r="E151" s="666">
        <v>15.65</v>
      </c>
      <c r="F151" s="589">
        <v>100</v>
      </c>
      <c r="G151" s="32"/>
      <c r="H151" s="669" t="s">
        <v>1144</v>
      </c>
    </row>
    <row r="152" spans="1:11" x14ac:dyDescent="0.25">
      <c r="A152" s="25"/>
      <c r="B152" s="829" t="s">
        <v>252</v>
      </c>
      <c r="C152" s="829"/>
      <c r="D152" s="829"/>
      <c r="E152" s="829"/>
      <c r="F152" s="829"/>
      <c r="G152" s="829"/>
    </row>
    <row r="153" spans="1:11" ht="48.75" customHeight="1" x14ac:dyDescent="0.25">
      <c r="A153" s="25"/>
      <c r="B153" s="660" t="s">
        <v>253</v>
      </c>
      <c r="C153" s="664" t="s">
        <v>39</v>
      </c>
      <c r="D153" s="661">
        <v>85</v>
      </c>
      <c r="E153" s="666">
        <v>77.91</v>
      </c>
      <c r="F153" s="589">
        <f>SUM(E153/D153*100)</f>
        <v>91.658823529411762</v>
      </c>
      <c r="G153" s="32"/>
      <c r="H153" s="656" t="s">
        <v>1048</v>
      </c>
    </row>
    <row r="154" spans="1:11" ht="28.5" customHeight="1" x14ac:dyDescent="0.25">
      <c r="A154" s="25"/>
      <c r="B154" s="833" t="s">
        <v>41</v>
      </c>
      <c r="C154" s="664" t="s">
        <v>39</v>
      </c>
      <c r="D154" s="661">
        <v>50</v>
      </c>
      <c r="E154" s="666">
        <v>91</v>
      </c>
      <c r="F154" s="791">
        <v>100</v>
      </c>
      <c r="G154" s="792"/>
      <c r="H154" s="837" t="s">
        <v>1150</v>
      </c>
      <c r="K154" s="138"/>
    </row>
    <row r="155" spans="1:11" s="138" customFormat="1" ht="22.5" customHeight="1" x14ac:dyDescent="0.25">
      <c r="A155" s="25"/>
      <c r="B155" s="833"/>
      <c r="C155" s="664" t="s">
        <v>1047</v>
      </c>
      <c r="D155" s="661">
        <v>1315.5</v>
      </c>
      <c r="E155" s="666">
        <v>2400.77</v>
      </c>
      <c r="F155" s="791"/>
      <c r="G155" s="792"/>
      <c r="H155" s="837"/>
    </row>
    <row r="156" spans="1:11" x14ac:dyDescent="0.25">
      <c r="A156" s="25"/>
      <c r="B156" s="795" t="s">
        <v>254</v>
      </c>
      <c r="C156" s="795"/>
      <c r="D156" s="795"/>
      <c r="E156" s="795"/>
      <c r="F156" s="795"/>
      <c r="G156" s="32"/>
    </row>
    <row r="157" spans="1:11" x14ac:dyDescent="0.25">
      <c r="A157" s="25"/>
      <c r="B157" s="795" t="s">
        <v>255</v>
      </c>
      <c r="C157" s="795"/>
      <c r="D157" s="795"/>
      <c r="E157" s="795"/>
      <c r="F157" s="795"/>
      <c r="G157" s="32"/>
    </row>
    <row r="158" spans="1:11" ht="47.25" x14ac:dyDescent="0.25">
      <c r="A158" s="25"/>
      <c r="B158" s="660" t="s">
        <v>256</v>
      </c>
      <c r="C158" s="664" t="s">
        <v>69</v>
      </c>
      <c r="D158" s="661">
        <v>9</v>
      </c>
      <c r="E158" s="661">
        <v>9</v>
      </c>
      <c r="F158" s="589">
        <v>100</v>
      </c>
      <c r="G158" s="32"/>
      <c r="H158" s="216" t="s">
        <v>1145</v>
      </c>
      <c r="K158" s="138"/>
    </row>
    <row r="159" spans="1:11" ht="31.5" x14ac:dyDescent="0.25">
      <c r="A159" s="25"/>
      <c r="B159" s="660" t="s">
        <v>810</v>
      </c>
      <c r="C159" s="664" t="s">
        <v>69</v>
      </c>
      <c r="D159" s="661">
        <v>90</v>
      </c>
      <c r="E159" s="661">
        <v>90</v>
      </c>
      <c r="F159" s="589">
        <f>E159/D159*100</f>
        <v>100</v>
      </c>
      <c r="G159" s="32"/>
      <c r="H159" s="670" t="s">
        <v>1146</v>
      </c>
      <c r="K159" s="138"/>
    </row>
    <row r="160" spans="1:11" x14ac:dyDescent="0.25">
      <c r="A160" s="25"/>
      <c r="B160" s="829" t="s">
        <v>257</v>
      </c>
      <c r="C160" s="829"/>
      <c r="D160" s="829"/>
      <c r="E160" s="829"/>
      <c r="F160" s="829"/>
      <c r="G160" s="700"/>
    </row>
    <row r="161" spans="1:11" ht="47.25" x14ac:dyDescent="0.25">
      <c r="A161" s="25"/>
      <c r="B161" s="700" t="s">
        <v>258</v>
      </c>
      <c r="C161" s="664" t="s">
        <v>39</v>
      </c>
      <c r="D161" s="664">
        <v>100</v>
      </c>
      <c r="E161" s="664">
        <v>123.08</v>
      </c>
      <c r="F161" s="589">
        <v>100</v>
      </c>
      <c r="G161" s="32"/>
      <c r="H161" s="642" t="s">
        <v>1147</v>
      </c>
      <c r="K161" s="138"/>
    </row>
    <row r="162" spans="1:11" ht="47.25" customHeight="1" x14ac:dyDescent="0.25">
      <c r="A162" s="25"/>
      <c r="B162" s="700" t="s">
        <v>259</v>
      </c>
      <c r="C162" s="664" t="s">
        <v>225</v>
      </c>
      <c r="D162" s="664">
        <v>300</v>
      </c>
      <c r="E162" s="664">
        <v>668.09</v>
      </c>
      <c r="F162" s="589">
        <v>100</v>
      </c>
      <c r="G162" s="32"/>
      <c r="H162" s="656" t="s">
        <v>1148</v>
      </c>
      <c r="K162" s="138"/>
    </row>
    <row r="163" spans="1:11" ht="25.5" customHeight="1" x14ac:dyDescent="0.25">
      <c r="A163" s="25"/>
      <c r="B163" s="790" t="s">
        <v>260</v>
      </c>
      <c r="C163" s="664" t="s">
        <v>39</v>
      </c>
      <c r="D163" s="664">
        <v>50</v>
      </c>
      <c r="E163" s="664">
        <v>68</v>
      </c>
      <c r="F163" s="791">
        <v>100</v>
      </c>
      <c r="G163" s="792"/>
      <c r="H163" s="837" t="s">
        <v>1149</v>
      </c>
      <c r="K163" s="138"/>
    </row>
    <row r="164" spans="1:11" s="138" customFormat="1" ht="24" customHeight="1" x14ac:dyDescent="0.25">
      <c r="A164" s="25"/>
      <c r="B164" s="790"/>
      <c r="C164" s="664" t="s">
        <v>1047</v>
      </c>
      <c r="D164" s="664">
        <v>1212</v>
      </c>
      <c r="E164" s="664">
        <v>1644.57</v>
      </c>
      <c r="F164" s="791"/>
      <c r="G164" s="792"/>
      <c r="H164" s="837"/>
    </row>
    <row r="165" spans="1:11" x14ac:dyDescent="0.25">
      <c r="A165" s="25"/>
      <c r="B165" s="829" t="s">
        <v>261</v>
      </c>
      <c r="C165" s="829"/>
      <c r="D165" s="829"/>
      <c r="E165" s="829"/>
      <c r="F165" s="829"/>
      <c r="G165" s="32"/>
    </row>
    <row r="166" spans="1:11" ht="142.5" customHeight="1" x14ac:dyDescent="0.25">
      <c r="A166" s="25"/>
      <c r="B166" s="700" t="s">
        <v>42</v>
      </c>
      <c r="C166" s="664" t="s">
        <v>43</v>
      </c>
      <c r="D166" s="664">
        <v>4</v>
      </c>
      <c r="E166" s="664">
        <v>4</v>
      </c>
      <c r="F166" s="589">
        <v>100</v>
      </c>
      <c r="G166" s="32"/>
      <c r="H166" s="588" t="s">
        <v>1132</v>
      </c>
      <c r="K166" s="138"/>
    </row>
    <row r="167" spans="1:11" ht="37.5" customHeight="1" x14ac:dyDescent="0.25">
      <c r="A167" s="25"/>
      <c r="B167" s="700" t="s">
        <v>798</v>
      </c>
      <c r="C167" s="664" t="s">
        <v>43</v>
      </c>
      <c r="D167" s="664">
        <v>1</v>
      </c>
      <c r="E167" s="664">
        <v>1</v>
      </c>
      <c r="F167" s="589">
        <f>E167/D167*100</f>
        <v>100</v>
      </c>
      <c r="G167" s="32"/>
      <c r="H167" s="588" t="s">
        <v>1133</v>
      </c>
      <c r="K167" s="138"/>
    </row>
    <row r="168" spans="1:11" s="108" customFormat="1" ht="33" customHeight="1" x14ac:dyDescent="0.25">
      <c r="A168" s="279">
        <v>6</v>
      </c>
      <c r="B168" s="799" t="str">
        <f>свод!B112</f>
        <v>Муниципальная программа «Развитие предпринимательства и туризма в Горном улусе на 2020-2024 годы»</v>
      </c>
      <c r="C168" s="827"/>
      <c r="D168" s="827"/>
      <c r="E168" s="827"/>
      <c r="F168" s="827"/>
      <c r="G168" s="591">
        <f>AVERAGE(F171,F172,F173,F174,F175,F176,F178,F179)</f>
        <v>89.223066503929502</v>
      </c>
      <c r="H168" s="217"/>
    </row>
    <row r="169" spans="1:11" ht="30.75" customHeight="1" x14ac:dyDescent="0.25">
      <c r="A169" s="25"/>
      <c r="B169" s="810" t="s">
        <v>931</v>
      </c>
      <c r="C169" s="810"/>
      <c r="D169" s="810"/>
      <c r="E169" s="810"/>
      <c r="F169" s="810"/>
      <c r="G169" s="830"/>
    </row>
    <row r="170" spans="1:11" s="35" customFormat="1" ht="13.5" customHeight="1" x14ac:dyDescent="0.25">
      <c r="A170" s="280"/>
      <c r="B170" s="831" t="s">
        <v>262</v>
      </c>
      <c r="C170" s="831"/>
      <c r="D170" s="831"/>
      <c r="E170" s="831"/>
      <c r="F170" s="831"/>
      <c r="G170" s="831"/>
      <c r="H170" s="211"/>
    </row>
    <row r="171" spans="1:11" ht="31.5" customHeight="1" x14ac:dyDescent="0.25">
      <c r="A171" s="25"/>
      <c r="B171" s="701" t="s">
        <v>263</v>
      </c>
      <c r="C171" s="666" t="s">
        <v>69</v>
      </c>
      <c r="D171" s="666">
        <v>515</v>
      </c>
      <c r="E171" s="205">
        <v>569</v>
      </c>
      <c r="F171" s="589">
        <v>100</v>
      </c>
      <c r="G171" s="32"/>
      <c r="H171" s="644" t="s">
        <v>1194</v>
      </c>
      <c r="K171" s="138"/>
    </row>
    <row r="172" spans="1:11" ht="31.5" x14ac:dyDescent="0.25">
      <c r="A172" s="25"/>
      <c r="B172" s="701" t="s">
        <v>264</v>
      </c>
      <c r="C172" s="195" t="s">
        <v>265</v>
      </c>
      <c r="D172" s="206">
        <v>11085</v>
      </c>
      <c r="E172" s="24">
        <v>15428</v>
      </c>
      <c r="F172" s="589">
        <v>100</v>
      </c>
      <c r="G172" s="32"/>
      <c r="H172" s="637" t="s">
        <v>1124</v>
      </c>
      <c r="K172" s="138"/>
    </row>
    <row r="173" spans="1:11" ht="132.75" customHeight="1" x14ac:dyDescent="0.25">
      <c r="A173" s="25"/>
      <c r="B173" s="701" t="s">
        <v>266</v>
      </c>
      <c r="C173" s="207" t="s">
        <v>69</v>
      </c>
      <c r="D173" s="208">
        <v>32</v>
      </c>
      <c r="E173" s="24">
        <v>22</v>
      </c>
      <c r="F173" s="589">
        <f>SUM(E173/D173*100)</f>
        <v>68.75</v>
      </c>
      <c r="G173" s="32"/>
      <c r="H173" s="643" t="s">
        <v>1136</v>
      </c>
    </row>
    <row r="174" spans="1:11" ht="71.25" customHeight="1" x14ac:dyDescent="0.25">
      <c r="A174" s="25"/>
      <c r="B174" s="701" t="s">
        <v>267</v>
      </c>
      <c r="C174" s="207" t="s">
        <v>69</v>
      </c>
      <c r="D174" s="208">
        <v>26</v>
      </c>
      <c r="E174" s="24">
        <v>20</v>
      </c>
      <c r="F174" s="589">
        <f>SUM(E174/D174*100)</f>
        <v>76.923076923076934</v>
      </c>
      <c r="G174" s="32"/>
      <c r="H174" s="789" t="s">
        <v>1137</v>
      </c>
    </row>
    <row r="175" spans="1:11" ht="63" customHeight="1" x14ac:dyDescent="0.25">
      <c r="A175" s="25"/>
      <c r="B175" s="701" t="s">
        <v>268</v>
      </c>
      <c r="C175" s="207" t="s">
        <v>39</v>
      </c>
      <c r="D175" s="208">
        <v>95</v>
      </c>
      <c r="E175" s="26">
        <f>11/17*100</f>
        <v>64.705882352941174</v>
      </c>
      <c r="F175" s="589">
        <f>SUM(E175/D175*100)</f>
        <v>68.111455108359138</v>
      </c>
      <c r="G175" s="32"/>
      <c r="H175" s="789"/>
    </row>
    <row r="176" spans="1:11" ht="31.5" x14ac:dyDescent="0.25">
      <c r="A176" s="25"/>
      <c r="B176" s="701" t="s">
        <v>269</v>
      </c>
      <c r="C176" s="207" t="s">
        <v>39</v>
      </c>
      <c r="D176" s="208">
        <v>22</v>
      </c>
      <c r="E176" s="24">
        <v>26</v>
      </c>
      <c r="F176" s="589">
        <v>100</v>
      </c>
      <c r="G176" s="32"/>
      <c r="K176" s="138"/>
    </row>
    <row r="177" spans="1:11" s="35" customFormat="1" x14ac:dyDescent="0.25">
      <c r="A177" s="280"/>
      <c r="B177" s="831" t="s">
        <v>270</v>
      </c>
      <c r="C177" s="831"/>
      <c r="D177" s="831"/>
      <c r="E177" s="831"/>
      <c r="F177" s="831"/>
      <c r="G177" s="831"/>
      <c r="H177" s="218"/>
    </row>
    <row r="178" spans="1:11" x14ac:dyDescent="0.25">
      <c r="A178" s="25"/>
      <c r="B178" s="702" t="s">
        <v>271</v>
      </c>
      <c r="C178" s="667" t="s">
        <v>69</v>
      </c>
      <c r="D178" s="667">
        <v>2500</v>
      </c>
      <c r="E178" s="209">
        <v>3554</v>
      </c>
      <c r="F178" s="589">
        <v>100</v>
      </c>
      <c r="G178" s="210"/>
      <c r="H178" s="588" t="s">
        <v>1123</v>
      </c>
      <c r="K178" s="138"/>
    </row>
    <row r="179" spans="1:11" x14ac:dyDescent="0.25">
      <c r="A179" s="25"/>
      <c r="B179" s="703" t="s">
        <v>272</v>
      </c>
      <c r="C179" s="667" t="s">
        <v>265</v>
      </c>
      <c r="D179" s="667">
        <v>5000</v>
      </c>
      <c r="E179" s="209">
        <v>5331</v>
      </c>
      <c r="F179" s="589">
        <v>100</v>
      </c>
      <c r="G179" s="32"/>
      <c r="H179" s="588" t="s">
        <v>1134</v>
      </c>
      <c r="K179" s="138"/>
    </row>
    <row r="180" spans="1:11" s="108" customFormat="1" ht="37.5" customHeight="1" x14ac:dyDescent="0.25">
      <c r="A180" s="279">
        <v>7</v>
      </c>
      <c r="B180" s="799" t="str">
        <f>свод!B92</f>
        <v>Ведомственная целевая программа «Развитие информационного общества в МР "Горный улус" на 2020-2024 годы»</v>
      </c>
      <c r="C180" s="799"/>
      <c r="D180" s="799"/>
      <c r="E180" s="799"/>
      <c r="F180" s="799"/>
      <c r="G180" s="591">
        <f>AVERAGE(F183:F185,F187:F189)</f>
        <v>93.87222222222222</v>
      </c>
      <c r="H180" s="217"/>
    </row>
    <row r="181" spans="1:11" ht="37.5" customHeight="1" x14ac:dyDescent="0.25">
      <c r="A181" s="25"/>
      <c r="B181" s="797" t="s">
        <v>930</v>
      </c>
      <c r="C181" s="797"/>
      <c r="D181" s="797"/>
      <c r="E181" s="797"/>
      <c r="F181" s="797"/>
      <c r="G181" s="797"/>
    </row>
    <row r="182" spans="1:11" s="35" customFormat="1" ht="32.25" customHeight="1" x14ac:dyDescent="0.25">
      <c r="A182" s="280"/>
      <c r="B182" s="824" t="s">
        <v>273</v>
      </c>
      <c r="C182" s="825"/>
      <c r="D182" s="825"/>
      <c r="E182" s="825"/>
      <c r="F182" s="825"/>
      <c r="G182" s="825"/>
      <c r="H182" s="218"/>
    </row>
    <row r="183" spans="1:11" ht="36.75" customHeight="1" x14ac:dyDescent="0.25">
      <c r="A183" s="25"/>
      <c r="B183" s="686" t="s">
        <v>274</v>
      </c>
      <c r="C183" s="29" t="s">
        <v>39</v>
      </c>
      <c r="D183" s="667">
        <v>100</v>
      </c>
      <c r="E183" s="667">
        <v>95</v>
      </c>
      <c r="F183" s="589">
        <f>SUM(E183/D183*100)</f>
        <v>95</v>
      </c>
      <c r="G183" s="32"/>
      <c r="H183" s="640" t="s">
        <v>1135</v>
      </c>
    </row>
    <row r="184" spans="1:11" ht="31.5" x14ac:dyDescent="0.25">
      <c r="A184" s="25"/>
      <c r="B184" s="685" t="s">
        <v>275</v>
      </c>
      <c r="C184" s="29" t="s">
        <v>39</v>
      </c>
      <c r="D184" s="667">
        <v>60</v>
      </c>
      <c r="E184" s="667">
        <v>40.94</v>
      </c>
      <c r="F184" s="589">
        <f>SUM(E184/D184*100)</f>
        <v>68.233333333333334</v>
      </c>
      <c r="G184" s="32"/>
      <c r="H184" s="641"/>
    </row>
    <row r="185" spans="1:11" s="138" customFormat="1" ht="31.5" x14ac:dyDescent="0.25">
      <c r="A185" s="25"/>
      <c r="B185" s="685" t="s">
        <v>280</v>
      </c>
      <c r="C185" s="29" t="s">
        <v>69</v>
      </c>
      <c r="D185" s="667">
        <v>1</v>
      </c>
      <c r="E185" s="667">
        <v>1</v>
      </c>
      <c r="F185" s="589">
        <f>SUM(E185/D185*100)</f>
        <v>100</v>
      </c>
      <c r="G185" s="32"/>
      <c r="H185" s="641"/>
    </row>
    <row r="186" spans="1:11" s="35" customFormat="1" ht="50.25" customHeight="1" x14ac:dyDescent="0.25">
      <c r="A186" s="280"/>
      <c r="B186" s="826" t="s">
        <v>276</v>
      </c>
      <c r="C186" s="826"/>
      <c r="D186" s="826"/>
      <c r="E186" s="826"/>
      <c r="F186" s="826"/>
      <c r="G186" s="826"/>
      <c r="H186" s="641"/>
    </row>
    <row r="187" spans="1:11" ht="51.75" customHeight="1" x14ac:dyDescent="0.25">
      <c r="A187" s="25"/>
      <c r="B187" s="685" t="s">
        <v>277</v>
      </c>
      <c r="C187" s="29" t="s">
        <v>69</v>
      </c>
      <c r="D187" s="29">
        <v>85</v>
      </c>
      <c r="E187" s="29">
        <v>102</v>
      </c>
      <c r="F187" s="589">
        <v>100</v>
      </c>
      <c r="G187" s="32"/>
      <c r="K187" s="138"/>
    </row>
    <row r="188" spans="1:11" ht="33.75" customHeight="1" x14ac:dyDescent="0.25">
      <c r="A188" s="25"/>
      <c r="B188" s="685" t="s">
        <v>278</v>
      </c>
      <c r="C188" s="29" t="s">
        <v>69</v>
      </c>
      <c r="D188" s="236">
        <v>55</v>
      </c>
      <c r="E188" s="236">
        <v>63</v>
      </c>
      <c r="F188" s="589">
        <v>100</v>
      </c>
      <c r="G188" s="32"/>
      <c r="K188" s="138"/>
    </row>
    <row r="189" spans="1:11" ht="31.5" x14ac:dyDescent="0.25">
      <c r="A189" s="25"/>
      <c r="B189" s="685" t="s">
        <v>279</v>
      </c>
      <c r="C189" s="29" t="s">
        <v>69</v>
      </c>
      <c r="D189" s="29">
        <v>70</v>
      </c>
      <c r="E189" s="29">
        <v>120</v>
      </c>
      <c r="F189" s="589">
        <v>100</v>
      </c>
      <c r="G189" s="32"/>
      <c r="K189" s="138"/>
    </row>
    <row r="190" spans="1:11" s="34" customFormat="1" ht="36" customHeight="1" x14ac:dyDescent="0.25">
      <c r="A190" s="279">
        <v>8</v>
      </c>
      <c r="B190" s="799" t="str">
        <f>свод!B36</f>
        <v>Ведомственная целевая программа «Развитие кадрового потенциала муниципальных служащих и работников органов местного самоуправления МР "Горный улус" на 2020-2024годы»</v>
      </c>
      <c r="C190" s="827"/>
      <c r="D190" s="827"/>
      <c r="E190" s="827"/>
      <c r="F190" s="827"/>
      <c r="G190" s="591">
        <f>AVERAGE(F193:F194,F196,F198,F197)</f>
        <v>73.715542521994138</v>
      </c>
      <c r="H190" s="215"/>
    </row>
    <row r="191" spans="1:11" ht="55.5" customHeight="1" x14ac:dyDescent="0.25">
      <c r="A191" s="25"/>
      <c r="B191" s="800" t="s">
        <v>937</v>
      </c>
      <c r="C191" s="828"/>
      <c r="D191" s="828"/>
      <c r="E191" s="801"/>
      <c r="F191" s="801"/>
      <c r="G191" s="24"/>
    </row>
    <row r="192" spans="1:11" s="36" customFormat="1" ht="24" customHeight="1" x14ac:dyDescent="0.25">
      <c r="A192" s="638"/>
      <c r="B192" s="802" t="s">
        <v>912</v>
      </c>
      <c r="C192" s="802"/>
      <c r="D192" s="802"/>
      <c r="E192" s="802"/>
      <c r="F192" s="802"/>
      <c r="G192" s="802"/>
      <c r="H192" s="219"/>
    </row>
    <row r="193" spans="1:11" ht="75" customHeight="1" x14ac:dyDescent="0.25">
      <c r="A193" s="25"/>
      <c r="B193" s="704" t="s">
        <v>282</v>
      </c>
      <c r="C193" s="24" t="s">
        <v>39</v>
      </c>
      <c r="D193" s="24">
        <v>62</v>
      </c>
      <c r="E193" s="664">
        <v>42.8</v>
      </c>
      <c r="F193" s="589">
        <f>E193/D193*100</f>
        <v>69.032258064516128</v>
      </c>
      <c r="G193" s="24"/>
      <c r="H193" s="646" t="s">
        <v>1138</v>
      </c>
    </row>
    <row r="194" spans="1:11" ht="38.25" customHeight="1" x14ac:dyDescent="0.25">
      <c r="A194" s="25"/>
      <c r="B194" s="704" t="s">
        <v>283</v>
      </c>
      <c r="C194" s="24" t="s">
        <v>52</v>
      </c>
      <c r="D194" s="24">
        <v>55</v>
      </c>
      <c r="E194" s="664">
        <v>41</v>
      </c>
      <c r="F194" s="589">
        <f>E194/D194*100</f>
        <v>74.545454545454547</v>
      </c>
      <c r="G194" s="24"/>
    </row>
    <row r="195" spans="1:11" s="138" customFormat="1" ht="21" customHeight="1" x14ac:dyDescent="0.25">
      <c r="A195" s="25"/>
      <c r="B195" s="802" t="s">
        <v>913</v>
      </c>
      <c r="C195" s="802"/>
      <c r="D195" s="802"/>
      <c r="E195" s="802"/>
      <c r="F195" s="802"/>
      <c r="G195" s="802"/>
      <c r="H195" s="588"/>
    </row>
    <row r="196" spans="1:11" s="138" customFormat="1" ht="36.75" customHeight="1" x14ac:dyDescent="0.25">
      <c r="A196" s="25"/>
      <c r="B196" s="704" t="s">
        <v>281</v>
      </c>
      <c r="C196" s="24" t="s">
        <v>39</v>
      </c>
      <c r="D196" s="24">
        <v>100</v>
      </c>
      <c r="E196" s="664">
        <v>100</v>
      </c>
      <c r="F196" s="589">
        <f>SUM(E196/D196*100)</f>
        <v>100</v>
      </c>
      <c r="G196" s="24"/>
      <c r="H196" s="588"/>
    </row>
    <row r="197" spans="1:11" ht="31.5" x14ac:dyDescent="0.25">
      <c r="A197" s="25"/>
      <c r="B197" s="704" t="s">
        <v>284</v>
      </c>
      <c r="C197" s="24" t="s">
        <v>52</v>
      </c>
      <c r="D197" s="29">
        <v>16</v>
      </c>
      <c r="E197" s="664">
        <v>4</v>
      </c>
      <c r="F197" s="589">
        <f>E197/D197*100</f>
        <v>25</v>
      </c>
      <c r="G197" s="24"/>
    </row>
    <row r="198" spans="1:11" ht="36.75" customHeight="1" x14ac:dyDescent="0.25">
      <c r="A198" s="25"/>
      <c r="B198" s="705" t="s">
        <v>1019</v>
      </c>
      <c r="C198" s="24" t="s">
        <v>52</v>
      </c>
      <c r="D198" s="29">
        <v>5</v>
      </c>
      <c r="E198" s="664">
        <v>6</v>
      </c>
      <c r="F198" s="589">
        <v>100</v>
      </c>
      <c r="G198" s="24"/>
      <c r="H198" s="646" t="s">
        <v>1139</v>
      </c>
      <c r="K198" s="138"/>
    </row>
    <row r="199" spans="1:11" s="178" customFormat="1" x14ac:dyDescent="0.25">
      <c r="A199" s="279">
        <v>9</v>
      </c>
      <c r="B199" s="799" t="str">
        <f>свод!B24</f>
        <v>Ведомственная целевая программа "Охрана труда в МР «Горный улус» на 2020-2024годы"</v>
      </c>
      <c r="C199" s="822"/>
      <c r="D199" s="822"/>
      <c r="E199" s="823"/>
      <c r="F199" s="823"/>
      <c r="G199" s="591">
        <f>AVERAGE(F202,F204,F205,F207,F208,F210,F211)</f>
        <v>79.751024065540193</v>
      </c>
      <c r="H199" s="220"/>
    </row>
    <row r="200" spans="1:11" s="111" customFormat="1" ht="43.5" customHeight="1" x14ac:dyDescent="0.25">
      <c r="A200" s="25"/>
      <c r="B200" s="800" t="s">
        <v>285</v>
      </c>
      <c r="C200" s="800"/>
      <c r="D200" s="800"/>
      <c r="E200" s="801"/>
      <c r="F200" s="801"/>
      <c r="G200" s="25"/>
      <c r="H200" s="221"/>
    </row>
    <row r="201" spans="1:11" s="179" customFormat="1" ht="18.75" customHeight="1" x14ac:dyDescent="0.25">
      <c r="A201" s="281"/>
      <c r="B201" s="802" t="s">
        <v>286</v>
      </c>
      <c r="C201" s="802"/>
      <c r="D201" s="802"/>
      <c r="E201" s="802"/>
      <c r="F201" s="802"/>
      <c r="G201" s="802"/>
      <c r="H201" s="222"/>
    </row>
    <row r="202" spans="1:11" s="111" customFormat="1" ht="47.25" x14ac:dyDescent="0.25">
      <c r="A202" s="25"/>
      <c r="B202" s="665" t="s">
        <v>287</v>
      </c>
      <c r="C202" s="666" t="s">
        <v>39</v>
      </c>
      <c r="D202" s="203">
        <v>80</v>
      </c>
      <c r="E202" s="237">
        <v>75</v>
      </c>
      <c r="F202" s="589">
        <f>SUM(E202/D202*100)</f>
        <v>93.75</v>
      </c>
      <c r="G202" s="32"/>
      <c r="H202" s="221"/>
    </row>
    <row r="203" spans="1:11" s="179" customFormat="1" ht="16.5" customHeight="1" x14ac:dyDescent="0.25">
      <c r="A203" s="281"/>
      <c r="B203" s="802" t="s">
        <v>288</v>
      </c>
      <c r="C203" s="802"/>
      <c r="D203" s="802"/>
      <c r="E203" s="802"/>
      <c r="F203" s="802"/>
      <c r="G203" s="802"/>
      <c r="H203" s="222"/>
    </row>
    <row r="204" spans="1:11" s="111" customFormat="1" ht="31.5" x14ac:dyDescent="0.25">
      <c r="A204" s="25"/>
      <c r="B204" s="665" t="s">
        <v>154</v>
      </c>
      <c r="C204" s="666" t="s">
        <v>39</v>
      </c>
      <c r="D204" s="666">
        <v>80</v>
      </c>
      <c r="E204" s="29">
        <v>70</v>
      </c>
      <c r="F204" s="589">
        <f>SUM(E204/D204*100)</f>
        <v>87.5</v>
      </c>
      <c r="G204" s="32"/>
      <c r="H204" s="588"/>
    </row>
    <row r="205" spans="1:11" s="111" customFormat="1" ht="31.5" x14ac:dyDescent="0.25">
      <c r="A205" s="25"/>
      <c r="B205" s="665" t="s">
        <v>155</v>
      </c>
      <c r="C205" s="666" t="s">
        <v>69</v>
      </c>
      <c r="D205" s="666">
        <v>2</v>
      </c>
      <c r="E205" s="29">
        <v>1</v>
      </c>
      <c r="F205" s="589">
        <f>SUM(E205/D205*100)</f>
        <v>50</v>
      </c>
      <c r="G205" s="32"/>
      <c r="H205" s="221"/>
    </row>
    <row r="206" spans="1:11" s="179" customFormat="1" ht="18.75" customHeight="1" x14ac:dyDescent="0.25">
      <c r="A206" s="281"/>
      <c r="B206" s="802" t="s">
        <v>289</v>
      </c>
      <c r="C206" s="802"/>
      <c r="D206" s="802"/>
      <c r="E206" s="802"/>
      <c r="F206" s="802"/>
      <c r="G206" s="802"/>
      <c r="H206" s="222"/>
    </row>
    <row r="207" spans="1:11" s="111" customFormat="1" ht="31.5" x14ac:dyDescent="0.25">
      <c r="A207" s="25"/>
      <c r="B207" s="665" t="s">
        <v>156</v>
      </c>
      <c r="C207" s="666" t="s">
        <v>69</v>
      </c>
      <c r="D207" s="666">
        <v>20</v>
      </c>
      <c r="E207" s="29">
        <v>15</v>
      </c>
      <c r="F207" s="589">
        <f>SUM(E207/D207*100)</f>
        <v>75</v>
      </c>
      <c r="G207" s="32"/>
      <c r="H207" s="221"/>
    </row>
    <row r="208" spans="1:11" s="111" customFormat="1" ht="31.5" x14ac:dyDescent="0.25">
      <c r="A208" s="25"/>
      <c r="B208" s="665" t="s">
        <v>157</v>
      </c>
      <c r="C208" s="666" t="s">
        <v>69</v>
      </c>
      <c r="D208" s="666">
        <v>5</v>
      </c>
      <c r="E208" s="29">
        <v>4</v>
      </c>
      <c r="F208" s="589">
        <f>SUM(E208/D208*100)</f>
        <v>80</v>
      </c>
      <c r="G208" s="32"/>
      <c r="H208" s="221"/>
    </row>
    <row r="209" spans="1:11" s="179" customFormat="1" x14ac:dyDescent="0.25">
      <c r="A209" s="281"/>
      <c r="B209" s="802" t="s">
        <v>290</v>
      </c>
      <c r="C209" s="802"/>
      <c r="D209" s="802"/>
      <c r="E209" s="802"/>
      <c r="F209" s="802"/>
      <c r="G209" s="802"/>
      <c r="H209" s="222"/>
    </row>
    <row r="210" spans="1:11" s="111" customFormat="1" ht="18.75" customHeight="1" x14ac:dyDescent="0.25">
      <c r="A210" s="25"/>
      <c r="B210" s="665" t="s">
        <v>159</v>
      </c>
      <c r="C210" s="667" t="s">
        <v>69</v>
      </c>
      <c r="D210" s="667">
        <v>25</v>
      </c>
      <c r="E210" s="29">
        <v>61</v>
      </c>
      <c r="F210" s="589">
        <v>100</v>
      </c>
      <c r="G210" s="32"/>
      <c r="H210" s="221"/>
      <c r="K210" s="138"/>
    </row>
    <row r="211" spans="1:11" s="111" customFormat="1" ht="47.25" x14ac:dyDescent="0.25">
      <c r="A211" s="25"/>
      <c r="B211" s="696" t="s">
        <v>158</v>
      </c>
      <c r="C211" s="667" t="s">
        <v>69</v>
      </c>
      <c r="D211" s="667">
        <v>2790</v>
      </c>
      <c r="E211" s="29">
        <v>2009</v>
      </c>
      <c r="F211" s="589">
        <f>SUM(E211/D211*100)</f>
        <v>72.007168458781351</v>
      </c>
      <c r="G211" s="32"/>
      <c r="H211" s="588" t="s">
        <v>1140</v>
      </c>
    </row>
    <row r="212" spans="1:11" s="110" customFormat="1" ht="38.25" customHeight="1" x14ac:dyDescent="0.25">
      <c r="A212" s="279">
        <v>10</v>
      </c>
      <c r="B212" s="799" t="str">
        <f>свод!B53</f>
        <v>Муниципальная программа  «Старшее поколение Горного улуса на 2020-2024 годы»</v>
      </c>
      <c r="C212" s="803"/>
      <c r="D212" s="803"/>
      <c r="E212" s="803"/>
      <c r="F212" s="803"/>
      <c r="G212" s="591">
        <f>SUM(F214:F215)/2</f>
        <v>96.632996632996623</v>
      </c>
      <c r="H212" s="223"/>
    </row>
    <row r="213" spans="1:11" ht="18.75" customHeight="1" x14ac:dyDescent="0.25">
      <c r="A213" s="25"/>
      <c r="B213" s="804" t="s">
        <v>291</v>
      </c>
      <c r="C213" s="804"/>
      <c r="D213" s="804"/>
      <c r="E213" s="804"/>
      <c r="F213" s="804"/>
      <c r="G213" s="24"/>
    </row>
    <row r="214" spans="1:11" ht="31.5" customHeight="1" x14ac:dyDescent="0.25">
      <c r="A214" s="25"/>
      <c r="B214" s="706" t="s">
        <v>46</v>
      </c>
      <c r="C214" s="238" t="s">
        <v>39</v>
      </c>
      <c r="D214" s="239">
        <v>66</v>
      </c>
      <c r="E214" s="236">
        <v>64</v>
      </c>
      <c r="F214" s="589">
        <f>SUM(E214/D214*100)</f>
        <v>96.969696969696969</v>
      </c>
      <c r="G214" s="24"/>
      <c r="H214" s="266"/>
    </row>
    <row r="215" spans="1:11" ht="31.5" customHeight="1" x14ac:dyDescent="0.25">
      <c r="A215" s="25"/>
      <c r="B215" s="705" t="s">
        <v>292</v>
      </c>
      <c r="C215" s="240" t="s">
        <v>52</v>
      </c>
      <c r="D215" s="29">
        <v>27</v>
      </c>
      <c r="E215" s="236">
        <v>26</v>
      </c>
      <c r="F215" s="589">
        <f>SUM(E215/D215*100)</f>
        <v>96.296296296296291</v>
      </c>
      <c r="G215" s="241"/>
      <c r="H215" s="266"/>
    </row>
    <row r="216" spans="1:11" s="34" customFormat="1" ht="57" customHeight="1" x14ac:dyDescent="0.25">
      <c r="A216" s="279">
        <v>11</v>
      </c>
      <c r="B216" s="799" t="str">
        <f>свод!B65</f>
        <v>Муниципальная программа «Содействие развитию институтов гражданского общества, поддержка социально ориентированных некоммерческих организаций и территориальных общественных самоуправлений в Горном улусе на 2021-2025 годы»</v>
      </c>
      <c r="C216" s="803"/>
      <c r="D216" s="803"/>
      <c r="E216" s="803"/>
      <c r="F216" s="803"/>
      <c r="G216" s="591">
        <f>AVERAGE(F219:F222,F224:F225)</f>
        <v>97.5</v>
      </c>
      <c r="H216" s="215"/>
    </row>
    <row r="217" spans="1:11" ht="26.25" customHeight="1" x14ac:dyDescent="0.25">
      <c r="A217" s="25"/>
      <c r="B217" s="797" t="s">
        <v>812</v>
      </c>
      <c r="C217" s="797"/>
      <c r="D217" s="797"/>
      <c r="E217" s="797"/>
      <c r="F217" s="797"/>
      <c r="G217" s="38"/>
    </row>
    <row r="218" spans="1:11" s="37" customFormat="1" ht="17.25" customHeight="1" x14ac:dyDescent="0.25">
      <c r="A218" s="281"/>
      <c r="B218" s="796" t="s">
        <v>813</v>
      </c>
      <c r="C218" s="796"/>
      <c r="D218" s="796"/>
      <c r="E218" s="796"/>
      <c r="F218" s="796"/>
      <c r="G218" s="796"/>
      <c r="H218" s="224"/>
    </row>
    <row r="219" spans="1:11" ht="100.5" customHeight="1" x14ac:dyDescent="0.25">
      <c r="A219" s="25"/>
      <c r="B219" s="707" t="s">
        <v>853</v>
      </c>
      <c r="C219" s="666" t="s">
        <v>40</v>
      </c>
      <c r="D219" s="242">
        <v>20</v>
      </c>
      <c r="E219" s="207">
        <v>25</v>
      </c>
      <c r="F219" s="589">
        <v>100</v>
      </c>
      <c r="G219" s="243"/>
      <c r="H219" s="588" t="s">
        <v>1008</v>
      </c>
      <c r="K219" s="138"/>
    </row>
    <row r="220" spans="1:11" ht="31.5" x14ac:dyDescent="0.25">
      <c r="A220" s="25"/>
      <c r="B220" s="707" t="s">
        <v>854</v>
      </c>
      <c r="C220" s="666" t="s">
        <v>39</v>
      </c>
      <c r="D220" s="242">
        <v>25</v>
      </c>
      <c r="E220" s="207">
        <v>25.51</v>
      </c>
      <c r="F220" s="589">
        <v>100</v>
      </c>
      <c r="G220" s="243"/>
      <c r="H220" s="212" t="s">
        <v>1141</v>
      </c>
      <c r="K220" s="138"/>
    </row>
    <row r="221" spans="1:11" s="116" customFormat="1" ht="47.25" x14ac:dyDescent="0.25">
      <c r="A221" s="25"/>
      <c r="B221" s="707" t="s">
        <v>855</v>
      </c>
      <c r="C221" s="666" t="s">
        <v>40</v>
      </c>
      <c r="D221" s="242">
        <v>25</v>
      </c>
      <c r="E221" s="207">
        <v>21.25</v>
      </c>
      <c r="F221" s="589">
        <f>E221/D221*100</f>
        <v>85</v>
      </c>
      <c r="G221" s="243"/>
      <c r="H221" s="588" t="s">
        <v>1142</v>
      </c>
    </row>
    <row r="222" spans="1:11" s="116" customFormat="1" ht="33.75" customHeight="1" x14ac:dyDescent="0.25">
      <c r="A222" s="25"/>
      <c r="B222" s="707" t="s">
        <v>856</v>
      </c>
      <c r="C222" s="666" t="s">
        <v>39</v>
      </c>
      <c r="D222" s="242">
        <v>12</v>
      </c>
      <c r="E222" s="207">
        <v>24.52</v>
      </c>
      <c r="F222" s="589">
        <v>100</v>
      </c>
      <c r="G222" s="243"/>
      <c r="H222" s="588" t="s">
        <v>1007</v>
      </c>
      <c r="K222" s="138"/>
    </row>
    <row r="223" spans="1:11" s="37" customFormat="1" ht="17.25" customHeight="1" x14ac:dyDescent="0.25">
      <c r="A223" s="281"/>
      <c r="B223" s="796" t="s">
        <v>857</v>
      </c>
      <c r="C223" s="796"/>
      <c r="D223" s="796"/>
      <c r="E223" s="796"/>
      <c r="F223" s="796"/>
      <c r="G223" s="796"/>
      <c r="H223" s="224"/>
    </row>
    <row r="224" spans="1:11" ht="30.75" customHeight="1" x14ac:dyDescent="0.25">
      <c r="A224" s="25"/>
      <c r="B224" s="707" t="s">
        <v>862</v>
      </c>
      <c r="C224" s="666" t="s">
        <v>39</v>
      </c>
      <c r="D224" s="242">
        <v>60</v>
      </c>
      <c r="E224" s="664">
        <v>72.900000000000006</v>
      </c>
      <c r="F224" s="589">
        <v>100</v>
      </c>
      <c r="G224" s="243"/>
      <c r="K224" s="138"/>
    </row>
    <row r="225" spans="1:11" ht="30.75" customHeight="1" x14ac:dyDescent="0.25">
      <c r="A225" s="25"/>
      <c r="B225" s="707" t="s">
        <v>863</v>
      </c>
      <c r="C225" s="666" t="s">
        <v>39</v>
      </c>
      <c r="D225" s="242">
        <v>82</v>
      </c>
      <c r="E225" s="664">
        <v>82</v>
      </c>
      <c r="F225" s="589">
        <f>E225/D225*100</f>
        <v>100</v>
      </c>
      <c r="G225" s="243"/>
      <c r="H225" s="212" t="s">
        <v>1143</v>
      </c>
      <c r="K225" s="138"/>
    </row>
    <row r="226" spans="1:11" s="602" customFormat="1" ht="36" customHeight="1" x14ac:dyDescent="0.25">
      <c r="A226" s="279">
        <v>12</v>
      </c>
      <c r="B226" s="799" t="str">
        <f>свод!B75</f>
        <v>Муниципальная программа «Обеспечение безбарьерной среды жизнедеятельности инвалидов в Горном улусе на 2020 - 2024 годы»</v>
      </c>
      <c r="C226" s="799"/>
      <c r="D226" s="799"/>
      <c r="E226" s="799"/>
      <c r="F226" s="799"/>
      <c r="G226" s="591">
        <f>SUM(F228:F229)/2</f>
        <v>94.147644487615338</v>
      </c>
      <c r="H226" s="645"/>
    </row>
    <row r="227" spans="1:11" ht="80.25" customHeight="1" x14ac:dyDescent="0.25">
      <c r="A227" s="25"/>
      <c r="B227" s="810" t="s">
        <v>938</v>
      </c>
      <c r="C227" s="810"/>
      <c r="D227" s="810"/>
      <c r="E227" s="810"/>
      <c r="F227" s="810"/>
      <c r="G227" s="589"/>
    </row>
    <row r="228" spans="1:11" ht="52.5" customHeight="1" x14ac:dyDescent="0.25">
      <c r="A228" s="25"/>
      <c r="B228" s="708" t="s">
        <v>293</v>
      </c>
      <c r="C228" s="666" t="s">
        <v>39</v>
      </c>
      <c r="D228" s="244">
        <v>12</v>
      </c>
      <c r="E228" s="245">
        <v>36.9</v>
      </c>
      <c r="F228" s="589">
        <v>100</v>
      </c>
      <c r="G228" s="589"/>
      <c r="H228" s="590" t="s">
        <v>1009</v>
      </c>
      <c r="K228" s="138"/>
    </row>
    <row r="229" spans="1:11" ht="99" customHeight="1" x14ac:dyDescent="0.25">
      <c r="A229" s="25"/>
      <c r="B229" s="708" t="s">
        <v>294</v>
      </c>
      <c r="C229" s="666" t="s">
        <v>39</v>
      </c>
      <c r="D229" s="244">
        <v>41.18</v>
      </c>
      <c r="E229" s="245">
        <v>36.36</v>
      </c>
      <c r="F229" s="589">
        <f>SUM(E229/D229*100)</f>
        <v>88.29528897523069</v>
      </c>
      <c r="G229" s="589"/>
      <c r="H229" s="590" t="s">
        <v>1010</v>
      </c>
    </row>
    <row r="230" spans="1:11" s="602" customFormat="1" ht="21" customHeight="1" x14ac:dyDescent="0.25">
      <c r="A230" s="279">
        <v>13</v>
      </c>
      <c r="B230" s="799" t="str">
        <f>свод!B38</f>
        <v>Муниципальная программа  «Семейная политика в Горном улусе на 2020-2024 годы»</v>
      </c>
      <c r="C230" s="799"/>
      <c r="D230" s="799"/>
      <c r="E230" s="799"/>
      <c r="F230" s="799"/>
      <c r="G230" s="591">
        <f>AVERAGE(F233:F235,F237,F242:F243,F239:F240)</f>
        <v>83.942678365937866</v>
      </c>
      <c r="H230" s="645"/>
    </row>
    <row r="231" spans="1:11" ht="37.5" customHeight="1" x14ac:dyDescent="0.25">
      <c r="A231" s="25"/>
      <c r="B231" s="797" t="s">
        <v>295</v>
      </c>
      <c r="C231" s="797"/>
      <c r="D231" s="797"/>
      <c r="E231" s="797"/>
      <c r="F231" s="797"/>
      <c r="G231" s="25"/>
    </row>
    <row r="232" spans="1:11" ht="18" customHeight="1" x14ac:dyDescent="0.25">
      <c r="A232" s="25"/>
      <c r="B232" s="802" t="s">
        <v>296</v>
      </c>
      <c r="C232" s="802"/>
      <c r="D232" s="802"/>
      <c r="E232" s="802"/>
      <c r="F232" s="802"/>
      <c r="G232" s="25"/>
    </row>
    <row r="233" spans="1:11" s="648" customFormat="1" ht="47.25" x14ac:dyDescent="0.25">
      <c r="A233" s="25"/>
      <c r="B233" s="709" t="s">
        <v>297</v>
      </c>
      <c r="C233" s="246" t="s">
        <v>39</v>
      </c>
      <c r="D233" s="247">
        <v>11</v>
      </c>
      <c r="E233" s="655">
        <v>6.23</v>
      </c>
      <c r="F233" s="589">
        <f>SUM(E233/D233)*100</f>
        <v>56.63636363636364</v>
      </c>
      <c r="G233" s="32"/>
      <c r="H233" s="577" t="s">
        <v>1197</v>
      </c>
    </row>
    <row r="234" spans="1:11" s="648" customFormat="1" ht="24" customHeight="1" x14ac:dyDescent="0.25">
      <c r="A234" s="25"/>
      <c r="B234" s="709" t="s">
        <v>298</v>
      </c>
      <c r="C234" s="246" t="s">
        <v>39</v>
      </c>
      <c r="D234" s="248">
        <v>5.0999999999999996</v>
      </c>
      <c r="E234" s="576">
        <v>7.2</v>
      </c>
      <c r="F234" s="589">
        <v>100</v>
      </c>
      <c r="G234" s="32"/>
      <c r="H234" s="578" t="s">
        <v>1198</v>
      </c>
      <c r="K234" s="138"/>
    </row>
    <row r="235" spans="1:11" s="648" customFormat="1" ht="31.5" x14ac:dyDescent="0.25">
      <c r="A235" s="25"/>
      <c r="B235" s="709" t="s">
        <v>299</v>
      </c>
      <c r="C235" s="246" t="s">
        <v>39</v>
      </c>
      <c r="D235" s="248">
        <v>36</v>
      </c>
      <c r="E235" s="236">
        <v>10</v>
      </c>
      <c r="F235" s="589">
        <f>SUM(E235/D235)*100</f>
        <v>27.777777777777779</v>
      </c>
      <c r="G235" s="32"/>
      <c r="H235" s="578" t="s">
        <v>996</v>
      </c>
    </row>
    <row r="236" spans="1:11" ht="21" customHeight="1" x14ac:dyDescent="0.25">
      <c r="A236" s="25"/>
      <c r="B236" s="813" t="s">
        <v>300</v>
      </c>
      <c r="C236" s="813"/>
      <c r="D236" s="813"/>
      <c r="E236" s="813"/>
      <c r="F236" s="814"/>
      <c r="G236" s="814"/>
      <c r="H236" s="225"/>
    </row>
    <row r="237" spans="1:11" ht="258.75" customHeight="1" x14ac:dyDescent="0.25">
      <c r="A237" s="25"/>
      <c r="B237" s="710" t="s">
        <v>301</v>
      </c>
      <c r="C237" s="24" t="s">
        <v>69</v>
      </c>
      <c r="D237" s="24">
        <v>11</v>
      </c>
      <c r="E237" s="24">
        <v>22</v>
      </c>
      <c r="F237" s="589">
        <v>100</v>
      </c>
      <c r="G237" s="32"/>
      <c r="H237" s="267" t="s">
        <v>997</v>
      </c>
      <c r="K237" s="138"/>
    </row>
    <row r="238" spans="1:11" ht="21" customHeight="1" x14ac:dyDescent="0.25">
      <c r="A238" s="25"/>
      <c r="B238" s="813" t="s">
        <v>303</v>
      </c>
      <c r="C238" s="813"/>
      <c r="D238" s="813"/>
      <c r="E238" s="813"/>
      <c r="F238" s="814"/>
      <c r="G238" s="814"/>
      <c r="H238" s="226"/>
    </row>
    <row r="239" spans="1:11" ht="72.75" customHeight="1" x14ac:dyDescent="0.25">
      <c r="A239" s="25"/>
      <c r="B239" s="711" t="s">
        <v>304</v>
      </c>
      <c r="C239" s="250" t="s">
        <v>39</v>
      </c>
      <c r="D239" s="250">
        <v>19</v>
      </c>
      <c r="E239" s="241">
        <v>17.66</v>
      </c>
      <c r="F239" s="733">
        <v>100</v>
      </c>
      <c r="G239" s="32"/>
      <c r="H239" s="671" t="s">
        <v>1175</v>
      </c>
    </row>
    <row r="240" spans="1:11" ht="47.25" customHeight="1" x14ac:dyDescent="0.25">
      <c r="A240" s="25"/>
      <c r="B240" s="711" t="s">
        <v>305</v>
      </c>
      <c r="C240" s="250" t="s">
        <v>52</v>
      </c>
      <c r="D240" s="250">
        <v>237</v>
      </c>
      <c r="E240" s="251">
        <v>219</v>
      </c>
      <c r="F240" s="589">
        <f>SUM(E240/D240)*100</f>
        <v>92.405063291139243</v>
      </c>
      <c r="G240" s="32"/>
      <c r="H240" s="578" t="s">
        <v>998</v>
      </c>
    </row>
    <row r="241" spans="1:102" ht="21" customHeight="1" x14ac:dyDescent="0.25">
      <c r="A241" s="25"/>
      <c r="B241" s="813" t="s">
        <v>995</v>
      </c>
      <c r="C241" s="813"/>
      <c r="D241" s="813"/>
      <c r="E241" s="813"/>
      <c r="F241" s="814"/>
      <c r="G241" s="814"/>
      <c r="H241" s="226"/>
    </row>
    <row r="242" spans="1:102" ht="47.25" x14ac:dyDescent="0.25">
      <c r="A242" s="25"/>
      <c r="B242" s="712" t="s">
        <v>999</v>
      </c>
      <c r="C242" s="249" t="s">
        <v>39</v>
      </c>
      <c r="D242" s="249">
        <v>36</v>
      </c>
      <c r="E242" s="575">
        <v>34.1</v>
      </c>
      <c r="F242" s="589">
        <f>SUM(E242/D242)*100</f>
        <v>94.722222222222229</v>
      </c>
      <c r="G242" s="32"/>
      <c r="H242" s="579" t="s">
        <v>1001</v>
      </c>
    </row>
    <row r="243" spans="1:102" ht="117" customHeight="1" x14ac:dyDescent="0.25">
      <c r="A243" s="25"/>
      <c r="B243" s="712" t="s">
        <v>302</v>
      </c>
      <c r="C243" s="249" t="s">
        <v>40</v>
      </c>
      <c r="D243" s="249">
        <v>5</v>
      </c>
      <c r="E243" s="575">
        <v>6</v>
      </c>
      <c r="F243" s="589">
        <v>100</v>
      </c>
      <c r="G243" s="32"/>
      <c r="H243" s="267" t="s">
        <v>1000</v>
      </c>
      <c r="K243" s="138"/>
    </row>
    <row r="244" spans="1:102" s="34" customFormat="1" ht="29.25" customHeight="1" x14ac:dyDescent="0.25">
      <c r="A244" s="279">
        <v>14</v>
      </c>
      <c r="B244" s="799" t="str">
        <f>свод!B80</f>
        <v>Муниципальная программа «Профилактика правонарушений в Горном улусе на 2020-2024 годы»</v>
      </c>
      <c r="C244" s="799"/>
      <c r="D244" s="799"/>
      <c r="E244" s="799"/>
      <c r="F244" s="799"/>
      <c r="G244" s="591">
        <f>AVERAGE(F247:F249,F251:F254)</f>
        <v>100</v>
      </c>
      <c r="H244" s="215"/>
    </row>
    <row r="245" spans="1:102" ht="47.25" customHeight="1" x14ac:dyDescent="0.25">
      <c r="A245" s="25"/>
      <c r="B245" s="800" t="s">
        <v>939</v>
      </c>
      <c r="C245" s="800"/>
      <c r="D245" s="800"/>
      <c r="E245" s="801"/>
      <c r="F245" s="801"/>
      <c r="G245" s="25"/>
    </row>
    <row r="246" spans="1:102" ht="18" customHeight="1" x14ac:dyDescent="0.25">
      <c r="A246" s="25"/>
      <c r="B246" s="802" t="s">
        <v>306</v>
      </c>
      <c r="C246" s="802"/>
      <c r="D246" s="802"/>
      <c r="E246" s="802"/>
      <c r="F246" s="802"/>
      <c r="G246" s="802"/>
    </row>
    <row r="247" spans="1:102" ht="31.5" x14ac:dyDescent="0.25">
      <c r="A247" s="25"/>
      <c r="B247" s="701" t="s">
        <v>846</v>
      </c>
      <c r="C247" s="252" t="s">
        <v>69</v>
      </c>
      <c r="D247" s="207">
        <v>28</v>
      </c>
      <c r="E247" s="29">
        <v>26</v>
      </c>
      <c r="F247" s="589">
        <v>100</v>
      </c>
      <c r="G247" s="25"/>
      <c r="K247" s="138"/>
    </row>
    <row r="248" spans="1:102" s="116" customFormat="1" ht="31.5" x14ac:dyDescent="0.25">
      <c r="A248" s="25"/>
      <c r="B248" s="701" t="s">
        <v>847</v>
      </c>
      <c r="C248" s="252" t="s">
        <v>69</v>
      </c>
      <c r="D248" s="207">
        <v>2</v>
      </c>
      <c r="E248" s="29">
        <v>0</v>
      </c>
      <c r="F248" s="589">
        <v>100</v>
      </c>
      <c r="G248" s="25"/>
      <c r="H248" s="588"/>
      <c r="K248" s="138"/>
    </row>
    <row r="249" spans="1:102" ht="47.25" x14ac:dyDescent="0.25">
      <c r="A249" s="25"/>
      <c r="B249" s="713" t="s">
        <v>848</v>
      </c>
      <c r="C249" s="252" t="s">
        <v>69</v>
      </c>
      <c r="D249" s="207">
        <v>16</v>
      </c>
      <c r="E249" s="29">
        <v>18</v>
      </c>
      <c r="F249" s="589">
        <v>100</v>
      </c>
      <c r="G249" s="25"/>
      <c r="K249" s="138"/>
    </row>
    <row r="250" spans="1:102" ht="18" customHeight="1" x14ac:dyDescent="0.25">
      <c r="A250" s="25"/>
      <c r="B250" s="802" t="s">
        <v>307</v>
      </c>
      <c r="C250" s="802"/>
      <c r="D250" s="802"/>
      <c r="E250" s="802"/>
      <c r="F250" s="802"/>
      <c r="G250" s="802"/>
    </row>
    <row r="251" spans="1:102" ht="27.75" customHeight="1" x14ac:dyDescent="0.25">
      <c r="A251" s="25"/>
      <c r="B251" s="714" t="s">
        <v>849</v>
      </c>
      <c r="C251" s="253" t="s">
        <v>69</v>
      </c>
      <c r="D251" s="207">
        <v>110</v>
      </c>
      <c r="E251" s="192">
        <v>100</v>
      </c>
      <c r="F251" s="589">
        <v>100</v>
      </c>
      <c r="G251" s="25"/>
      <c r="H251" s="212" t="s">
        <v>1017</v>
      </c>
      <c r="K251" s="138"/>
    </row>
    <row r="252" spans="1:102" s="116" customFormat="1" ht="27.75" customHeight="1" x14ac:dyDescent="0.25">
      <c r="A252" s="25"/>
      <c r="B252" s="714" t="s">
        <v>850</v>
      </c>
      <c r="C252" s="253" t="s">
        <v>69</v>
      </c>
      <c r="D252" s="207">
        <v>14</v>
      </c>
      <c r="E252" s="192">
        <v>11</v>
      </c>
      <c r="F252" s="589">
        <v>100</v>
      </c>
      <c r="G252" s="25"/>
      <c r="H252" s="212" t="s">
        <v>1017</v>
      </c>
      <c r="K252" s="138"/>
    </row>
    <row r="253" spans="1:102" s="116" customFormat="1" ht="27.75" customHeight="1" x14ac:dyDescent="0.25">
      <c r="A253" s="25"/>
      <c r="B253" s="714" t="s">
        <v>851</v>
      </c>
      <c r="C253" s="253" t="s">
        <v>69</v>
      </c>
      <c r="D253" s="207">
        <v>48</v>
      </c>
      <c r="E253" s="192">
        <v>9</v>
      </c>
      <c r="F253" s="589">
        <v>100</v>
      </c>
      <c r="G253" s="25"/>
      <c r="H253" s="212" t="s">
        <v>1016</v>
      </c>
      <c r="K253" s="138"/>
    </row>
    <row r="254" spans="1:102" ht="33.75" customHeight="1" x14ac:dyDescent="0.25">
      <c r="A254" s="25"/>
      <c r="B254" s="715" t="s">
        <v>852</v>
      </c>
      <c r="C254" s="253" t="s">
        <v>52</v>
      </c>
      <c r="D254" s="207">
        <v>35</v>
      </c>
      <c r="E254" s="192">
        <v>23</v>
      </c>
      <c r="F254" s="589">
        <f>100</f>
        <v>100</v>
      </c>
      <c r="G254" s="25"/>
      <c r="H254" s="212" t="s">
        <v>1016</v>
      </c>
      <c r="K254" s="138"/>
    </row>
    <row r="255" spans="1:102" s="121" customFormat="1" ht="36" customHeight="1" x14ac:dyDescent="0.25">
      <c r="A255" s="279">
        <v>15</v>
      </c>
      <c r="B255" s="799" t="str">
        <f>свод!B138</f>
        <v>Муниципальная программа «Молодежная политика Горного улуса на 2020 - 2024 годы»</v>
      </c>
      <c r="C255" s="799"/>
      <c r="D255" s="799"/>
      <c r="E255" s="799"/>
      <c r="F255" s="799"/>
      <c r="G255" s="591">
        <f>AVERAGE(F258:F261,F263,F265)</f>
        <v>100</v>
      </c>
      <c r="H255" s="215"/>
    </row>
    <row r="256" spans="1:102" ht="33.75" customHeight="1" x14ac:dyDescent="0.25">
      <c r="A256" s="112"/>
      <c r="B256" s="797" t="s">
        <v>940</v>
      </c>
      <c r="C256" s="797"/>
      <c r="D256" s="797"/>
      <c r="E256" s="797"/>
      <c r="F256" s="797"/>
      <c r="G256" s="235"/>
      <c r="H256" s="227"/>
      <c r="I256" s="39"/>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c r="CA256" s="39"/>
      <c r="CB256" s="39"/>
      <c r="CC256" s="39"/>
      <c r="CD256" s="39"/>
      <c r="CE256" s="39"/>
      <c r="CF256" s="39"/>
      <c r="CG256" s="39"/>
      <c r="CH256" s="39"/>
      <c r="CI256" s="39"/>
      <c r="CJ256" s="39"/>
      <c r="CK256" s="39"/>
      <c r="CL256" s="39"/>
      <c r="CM256" s="39"/>
      <c r="CN256" s="39"/>
      <c r="CO256" s="39"/>
      <c r="CP256" s="39"/>
      <c r="CQ256" s="39"/>
      <c r="CR256" s="39"/>
      <c r="CS256" s="39"/>
      <c r="CT256" s="39"/>
      <c r="CU256" s="39"/>
      <c r="CV256" s="39"/>
      <c r="CW256" s="39"/>
      <c r="CX256" s="39"/>
    </row>
    <row r="257" spans="1:102" s="120" customFormat="1" ht="33.75" customHeight="1" x14ac:dyDescent="0.25">
      <c r="A257" s="112"/>
      <c r="B257" s="796" t="s">
        <v>858</v>
      </c>
      <c r="C257" s="796"/>
      <c r="D257" s="796"/>
      <c r="E257" s="796"/>
      <c r="F257" s="796"/>
      <c r="G257" s="796"/>
      <c r="H257" s="227"/>
      <c r="I257" s="122"/>
      <c r="J257" s="122"/>
      <c r="K257" s="122"/>
      <c r="L257" s="122"/>
      <c r="M257" s="122"/>
      <c r="N257" s="122"/>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c r="AT257" s="122"/>
      <c r="AU257" s="122"/>
      <c r="AV257" s="122"/>
      <c r="AW257" s="122"/>
      <c r="AX257" s="122"/>
      <c r="AY257" s="122"/>
      <c r="AZ257" s="122"/>
      <c r="BA257" s="122"/>
      <c r="BB257" s="122"/>
      <c r="BC257" s="122"/>
      <c r="BD257" s="122"/>
      <c r="BE257" s="122"/>
      <c r="BF257" s="122"/>
      <c r="BG257" s="122"/>
      <c r="BH257" s="122"/>
      <c r="BI257" s="122"/>
      <c r="BJ257" s="122"/>
      <c r="BK257" s="122"/>
      <c r="BL257" s="122"/>
      <c r="BM257" s="122"/>
      <c r="BN257" s="122"/>
      <c r="BO257" s="122"/>
      <c r="BP257" s="122"/>
      <c r="BQ257" s="122"/>
      <c r="BR257" s="122"/>
      <c r="BS257" s="122"/>
      <c r="BT257" s="122"/>
      <c r="BU257" s="122"/>
      <c r="BV257" s="122"/>
      <c r="BW257" s="122"/>
      <c r="BX257" s="122"/>
      <c r="BY257" s="122"/>
      <c r="BZ257" s="122"/>
      <c r="CA257" s="122"/>
      <c r="CB257" s="122"/>
      <c r="CC257" s="122"/>
      <c r="CD257" s="122"/>
      <c r="CE257" s="122"/>
      <c r="CF257" s="122"/>
      <c r="CG257" s="122"/>
      <c r="CH257" s="122"/>
      <c r="CI257" s="122"/>
      <c r="CJ257" s="122"/>
      <c r="CK257" s="122"/>
      <c r="CL257" s="122"/>
      <c r="CM257" s="122"/>
      <c r="CN257" s="122"/>
      <c r="CO257" s="122"/>
      <c r="CP257" s="122"/>
      <c r="CQ257" s="122"/>
      <c r="CR257" s="122"/>
      <c r="CS257" s="122"/>
      <c r="CT257" s="122"/>
      <c r="CU257" s="122"/>
      <c r="CV257" s="122"/>
      <c r="CW257" s="122"/>
      <c r="CX257" s="122"/>
    </row>
    <row r="258" spans="1:102" ht="358.5" customHeight="1" x14ac:dyDescent="0.25">
      <c r="A258" s="112"/>
      <c r="B258" s="716" t="s">
        <v>151</v>
      </c>
      <c r="C258" s="252" t="s">
        <v>69</v>
      </c>
      <c r="D258" s="254">
        <v>5</v>
      </c>
      <c r="E258" s="255">
        <v>5</v>
      </c>
      <c r="F258" s="589">
        <f>SUM(E258/D258*100)</f>
        <v>100</v>
      </c>
      <c r="G258" s="235"/>
      <c r="H258" s="227" t="s">
        <v>1026</v>
      </c>
      <c r="I258" s="39"/>
      <c r="J258" s="39"/>
      <c r="K258" s="138"/>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c r="CA258" s="39"/>
      <c r="CB258" s="39"/>
      <c r="CC258" s="39"/>
      <c r="CD258" s="39"/>
      <c r="CE258" s="39"/>
      <c r="CF258" s="39"/>
      <c r="CG258" s="39"/>
      <c r="CH258" s="39"/>
      <c r="CI258" s="39"/>
      <c r="CJ258" s="39"/>
      <c r="CK258" s="39"/>
      <c r="CL258" s="39"/>
      <c r="CM258" s="39"/>
      <c r="CN258" s="39"/>
      <c r="CO258" s="39"/>
      <c r="CP258" s="39"/>
      <c r="CQ258" s="39"/>
      <c r="CR258" s="39"/>
      <c r="CS258" s="39"/>
      <c r="CT258" s="39"/>
      <c r="CU258" s="39"/>
      <c r="CV258" s="39"/>
      <c r="CW258" s="39"/>
      <c r="CX258" s="39"/>
    </row>
    <row r="259" spans="1:102" ht="111.75" customHeight="1" x14ac:dyDescent="0.25">
      <c r="A259" s="112"/>
      <c r="B259" s="717" t="s">
        <v>308</v>
      </c>
      <c r="C259" s="252" t="s">
        <v>39</v>
      </c>
      <c r="D259" s="254">
        <v>20</v>
      </c>
      <c r="E259" s="29">
        <v>20</v>
      </c>
      <c r="F259" s="589">
        <f>SUM(E259/D259*100)</f>
        <v>100</v>
      </c>
      <c r="G259" s="235"/>
      <c r="H259" s="227" t="s">
        <v>1027</v>
      </c>
      <c r="I259" s="39"/>
      <c r="J259" s="39"/>
      <c r="K259" s="138"/>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c r="AQ259" s="39"/>
      <c r="AR259" s="39"/>
      <c r="AS259" s="39"/>
      <c r="AT259" s="39"/>
      <c r="AU259" s="39"/>
      <c r="AV259" s="39"/>
      <c r="AW259" s="39"/>
      <c r="AX259" s="39"/>
      <c r="AY259" s="39"/>
      <c r="AZ259" s="39"/>
      <c r="BA259" s="39"/>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c r="CA259" s="39"/>
      <c r="CB259" s="39"/>
      <c r="CC259" s="39"/>
      <c r="CD259" s="39"/>
      <c r="CE259" s="39"/>
      <c r="CF259" s="39"/>
      <c r="CG259" s="39"/>
      <c r="CH259" s="39"/>
      <c r="CI259" s="39"/>
      <c r="CJ259" s="39"/>
      <c r="CK259" s="39"/>
      <c r="CL259" s="39"/>
      <c r="CM259" s="39"/>
      <c r="CN259" s="39"/>
      <c r="CO259" s="39"/>
      <c r="CP259" s="39"/>
      <c r="CQ259" s="39"/>
      <c r="CR259" s="39"/>
      <c r="CS259" s="39"/>
      <c r="CT259" s="39"/>
      <c r="CU259" s="39"/>
      <c r="CV259" s="39"/>
      <c r="CW259" s="39"/>
      <c r="CX259" s="39"/>
    </row>
    <row r="260" spans="1:102" s="120" customFormat="1" ht="108" customHeight="1" x14ac:dyDescent="0.25">
      <c r="A260" s="25"/>
      <c r="B260" s="717" t="s">
        <v>859</v>
      </c>
      <c r="C260" s="252" t="s">
        <v>69</v>
      </c>
      <c r="D260" s="254">
        <v>5</v>
      </c>
      <c r="E260" s="29">
        <v>5</v>
      </c>
      <c r="F260" s="589">
        <f>SUM(E260/D260*100)</f>
        <v>100</v>
      </c>
      <c r="G260" s="235"/>
      <c r="H260" s="228" t="s">
        <v>1028</v>
      </c>
      <c r="I260" s="122"/>
      <c r="J260" s="122"/>
      <c r="K260" s="138"/>
      <c r="L260" s="122"/>
      <c r="M260" s="122"/>
      <c r="N260" s="122"/>
      <c r="O260" s="122"/>
      <c r="P260" s="122"/>
      <c r="Q260" s="122"/>
      <c r="R260" s="122"/>
      <c r="S260" s="122"/>
      <c r="T260" s="122"/>
      <c r="U260" s="122"/>
      <c r="V260" s="122"/>
      <c r="W260" s="122"/>
      <c r="X260" s="122"/>
      <c r="Y260" s="122"/>
      <c r="Z260" s="122"/>
      <c r="AA260" s="122"/>
      <c r="AB260" s="122"/>
      <c r="AC260" s="122"/>
      <c r="AD260" s="122"/>
      <c r="AE260" s="122"/>
      <c r="AF260" s="122"/>
      <c r="AG260" s="122"/>
      <c r="AH260" s="122"/>
      <c r="AI260" s="122"/>
      <c r="AJ260" s="122"/>
      <c r="AK260" s="122"/>
      <c r="AL260" s="122"/>
      <c r="AM260" s="122"/>
      <c r="AN260" s="122"/>
      <c r="AO260" s="122"/>
      <c r="AP260" s="122"/>
      <c r="AQ260" s="122"/>
      <c r="AR260" s="122"/>
      <c r="AS260" s="122"/>
      <c r="AT260" s="122"/>
      <c r="AU260" s="122"/>
      <c r="AV260" s="122"/>
      <c r="AW260" s="122"/>
      <c r="AX260" s="122"/>
      <c r="AY260" s="122"/>
      <c r="AZ260" s="122"/>
      <c r="BA260" s="122"/>
      <c r="BB260" s="122"/>
      <c r="BC260" s="122"/>
      <c r="BD260" s="122"/>
      <c r="BE260" s="122"/>
      <c r="BF260" s="122"/>
      <c r="BG260" s="122"/>
      <c r="BH260" s="122"/>
      <c r="BI260" s="122"/>
      <c r="BJ260" s="122"/>
      <c r="BK260" s="122"/>
      <c r="BL260" s="122"/>
      <c r="BM260" s="122"/>
      <c r="BN260" s="122"/>
      <c r="BO260" s="122"/>
      <c r="BP260" s="122"/>
      <c r="BQ260" s="122"/>
      <c r="BR260" s="122"/>
      <c r="BS260" s="122"/>
      <c r="BT260" s="122"/>
      <c r="BU260" s="122"/>
      <c r="BV260" s="122"/>
      <c r="BW260" s="122"/>
      <c r="BX260" s="122"/>
      <c r="BY260" s="122"/>
      <c r="BZ260" s="122"/>
      <c r="CA260" s="122"/>
      <c r="CB260" s="122"/>
      <c r="CC260" s="122"/>
      <c r="CD260" s="122"/>
      <c r="CE260" s="122"/>
      <c r="CF260" s="122"/>
      <c r="CG260" s="122"/>
      <c r="CH260" s="122"/>
      <c r="CI260" s="122"/>
      <c r="CJ260" s="122"/>
      <c r="CK260" s="122"/>
      <c r="CL260" s="122"/>
      <c r="CM260" s="122"/>
      <c r="CN260" s="122"/>
      <c r="CO260" s="122"/>
      <c r="CP260" s="122"/>
      <c r="CQ260" s="122"/>
      <c r="CR260" s="122"/>
      <c r="CS260" s="122"/>
      <c r="CT260" s="122"/>
      <c r="CU260" s="122"/>
      <c r="CV260" s="122"/>
      <c r="CW260" s="122"/>
      <c r="CX260" s="122"/>
    </row>
    <row r="261" spans="1:102" ht="157.5" x14ac:dyDescent="0.25">
      <c r="A261" s="112"/>
      <c r="B261" s="717" t="s">
        <v>150</v>
      </c>
      <c r="C261" s="252" t="s">
        <v>69</v>
      </c>
      <c r="D261" s="254">
        <v>650</v>
      </c>
      <c r="E261" s="255">
        <v>1593</v>
      </c>
      <c r="F261" s="589">
        <v>100</v>
      </c>
      <c r="G261" s="235"/>
      <c r="H261" s="227" t="s">
        <v>1025</v>
      </c>
      <c r="I261" s="39"/>
      <c r="J261" s="39"/>
      <c r="K261" s="138"/>
      <c r="L261" s="39"/>
      <c r="M261" s="39"/>
      <c r="N261" s="39"/>
      <c r="O261" s="39"/>
      <c r="P261" s="39"/>
      <c r="Q261" s="39"/>
      <c r="R261" s="39"/>
      <c r="S261" s="39"/>
      <c r="T261" s="39"/>
      <c r="U261" s="39"/>
      <c r="V261" s="39"/>
      <c r="W261" s="39"/>
      <c r="X261" s="39"/>
      <c r="Y261" s="39"/>
      <c r="Z261" s="39"/>
      <c r="AA261" s="39"/>
      <c r="AB261" s="39"/>
      <c r="AC261" s="39"/>
      <c r="AD261" s="39"/>
      <c r="AE261" s="39"/>
      <c r="AF261" s="39"/>
      <c r="AG261" s="39"/>
      <c r="AH261" s="39"/>
      <c r="AI261" s="39"/>
      <c r="AJ261" s="39"/>
      <c r="AK261" s="39"/>
      <c r="AL261" s="39"/>
      <c r="AM261" s="39"/>
      <c r="AN261" s="39"/>
      <c r="AO261" s="39"/>
      <c r="AP261" s="39"/>
      <c r="AQ261" s="39"/>
      <c r="AR261" s="39"/>
      <c r="AS261" s="39"/>
      <c r="AT261" s="39"/>
      <c r="AU261" s="39"/>
      <c r="AV261" s="39"/>
      <c r="AW261" s="39"/>
      <c r="AX261" s="39"/>
      <c r="AY261" s="39"/>
      <c r="AZ261" s="39"/>
      <c r="BA261" s="39"/>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c r="CA261" s="39"/>
      <c r="CB261" s="39"/>
      <c r="CC261" s="39"/>
      <c r="CD261" s="39"/>
      <c r="CE261" s="39"/>
      <c r="CF261" s="39"/>
      <c r="CG261" s="39"/>
      <c r="CH261" s="39"/>
      <c r="CI261" s="39"/>
      <c r="CJ261" s="39"/>
      <c r="CK261" s="39"/>
      <c r="CL261" s="39"/>
      <c r="CM261" s="39"/>
      <c r="CN261" s="39"/>
      <c r="CO261" s="39"/>
      <c r="CP261" s="39"/>
      <c r="CQ261" s="39"/>
      <c r="CR261" s="39"/>
      <c r="CS261" s="39"/>
      <c r="CT261" s="39"/>
      <c r="CU261" s="39"/>
      <c r="CV261" s="39"/>
      <c r="CW261" s="39"/>
      <c r="CX261" s="39"/>
    </row>
    <row r="262" spans="1:102" x14ac:dyDescent="0.25">
      <c r="A262" s="112"/>
      <c r="B262" s="796" t="s">
        <v>860</v>
      </c>
      <c r="C262" s="796"/>
      <c r="D262" s="796"/>
      <c r="E262" s="796"/>
      <c r="F262" s="796"/>
      <c r="G262" s="796"/>
      <c r="H262" s="227"/>
      <c r="I262" s="39"/>
      <c r="J262" s="39"/>
      <c r="K262" s="39"/>
      <c r="L262" s="39"/>
      <c r="M262" s="39"/>
      <c r="N262" s="39"/>
      <c r="O262" s="39"/>
      <c r="P262" s="39"/>
      <c r="Q262" s="39"/>
      <c r="R262" s="39"/>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c r="CA262" s="39"/>
      <c r="CB262" s="39"/>
      <c r="CC262" s="39"/>
      <c r="CD262" s="39"/>
      <c r="CE262" s="39"/>
      <c r="CF262" s="39"/>
      <c r="CG262" s="39"/>
      <c r="CH262" s="39"/>
      <c r="CI262" s="39"/>
      <c r="CJ262" s="39"/>
      <c r="CK262" s="39"/>
      <c r="CL262" s="39"/>
      <c r="CM262" s="39"/>
      <c r="CN262" s="39"/>
      <c r="CO262" s="39"/>
      <c r="CP262" s="39"/>
      <c r="CQ262" s="39"/>
      <c r="CR262" s="39"/>
      <c r="CS262" s="39"/>
      <c r="CT262" s="39"/>
      <c r="CU262" s="39"/>
      <c r="CV262" s="39"/>
      <c r="CW262" s="39"/>
      <c r="CX262" s="39"/>
    </row>
    <row r="263" spans="1:102" ht="78.75" x14ac:dyDescent="0.25">
      <c r="A263" s="112"/>
      <c r="B263" s="717" t="s">
        <v>152</v>
      </c>
      <c r="C263" s="252" t="s">
        <v>69</v>
      </c>
      <c r="D263" s="254">
        <v>5</v>
      </c>
      <c r="E263" s="192">
        <v>5</v>
      </c>
      <c r="F263" s="589">
        <f>SUM(E263/D263*100)</f>
        <v>100</v>
      </c>
      <c r="G263" s="235"/>
      <c r="H263" s="227" t="s">
        <v>1029</v>
      </c>
      <c r="I263" s="39"/>
      <c r="J263" s="39"/>
      <c r="K263" s="138"/>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c r="AQ263" s="39"/>
      <c r="AR263" s="39"/>
      <c r="AS263" s="39"/>
      <c r="AT263" s="39"/>
      <c r="AU263" s="39"/>
      <c r="AV263" s="39"/>
      <c r="AW263" s="39"/>
      <c r="AX263" s="39"/>
      <c r="AY263" s="39"/>
      <c r="AZ263" s="39"/>
      <c r="BA263" s="39"/>
      <c r="BB263" s="39"/>
      <c r="BC263" s="39"/>
      <c r="BD263" s="39"/>
      <c r="BE263" s="39"/>
      <c r="BF263" s="39"/>
      <c r="BG263" s="39"/>
      <c r="BH263" s="39"/>
      <c r="BI263" s="39"/>
      <c r="BJ263" s="39"/>
      <c r="BK263" s="39"/>
      <c r="BL263" s="39"/>
      <c r="BM263" s="39"/>
      <c r="BN263" s="39"/>
      <c r="BO263" s="39"/>
      <c r="BP263" s="39"/>
      <c r="BQ263" s="39"/>
      <c r="BR263" s="39"/>
      <c r="BS263" s="39"/>
      <c r="BT263" s="39"/>
      <c r="BU263" s="39"/>
      <c r="BV263" s="39"/>
      <c r="BW263" s="39"/>
      <c r="BX263" s="39"/>
      <c r="BY263" s="39"/>
      <c r="BZ263" s="39"/>
      <c r="CA263" s="39"/>
      <c r="CB263" s="39"/>
      <c r="CC263" s="39"/>
      <c r="CD263" s="39"/>
      <c r="CE263" s="39"/>
      <c r="CF263" s="39"/>
      <c r="CG263" s="39"/>
      <c r="CH263" s="39"/>
      <c r="CI263" s="39"/>
      <c r="CJ263" s="39"/>
      <c r="CK263" s="39"/>
      <c r="CL263" s="39"/>
      <c r="CM263" s="39"/>
      <c r="CN263" s="39"/>
      <c r="CO263" s="39"/>
      <c r="CP263" s="39"/>
      <c r="CQ263" s="39"/>
      <c r="CR263" s="39"/>
      <c r="CS263" s="39"/>
      <c r="CT263" s="39"/>
      <c r="CU263" s="39"/>
      <c r="CV263" s="39"/>
      <c r="CW263" s="39"/>
      <c r="CX263" s="39"/>
    </row>
    <row r="264" spans="1:102" ht="14.25" customHeight="1" x14ac:dyDescent="0.25">
      <c r="A264" s="112"/>
      <c r="B264" s="798" t="s">
        <v>861</v>
      </c>
      <c r="C264" s="798"/>
      <c r="D264" s="798"/>
      <c r="E264" s="798"/>
      <c r="F264" s="798"/>
      <c r="G264" s="798"/>
      <c r="H264" s="227"/>
      <c r="I264" s="39"/>
      <c r="J264" s="39"/>
      <c r="K264" s="39"/>
      <c r="L264" s="39"/>
      <c r="M264" s="39"/>
      <c r="N264" s="39"/>
      <c r="O264" s="39"/>
      <c r="P264" s="39"/>
      <c r="Q264" s="39"/>
      <c r="R264" s="39"/>
      <c r="S264" s="39"/>
      <c r="T264" s="39"/>
      <c r="U264" s="39"/>
      <c r="V264" s="39"/>
      <c r="W264" s="39"/>
      <c r="X264" s="39"/>
      <c r="Y264" s="39"/>
      <c r="Z264" s="39"/>
      <c r="AA264" s="39"/>
      <c r="AB264" s="39"/>
      <c r="AC264" s="39"/>
      <c r="AD264" s="39"/>
      <c r="AE264" s="39"/>
      <c r="AF264" s="39"/>
      <c r="AG264" s="39"/>
      <c r="AH264" s="39"/>
      <c r="AI264" s="39"/>
      <c r="AJ264" s="39"/>
      <c r="AK264" s="39"/>
      <c r="AL264" s="39"/>
      <c r="AM264" s="39"/>
      <c r="AN264" s="39"/>
      <c r="AO264" s="39"/>
      <c r="AP264" s="39"/>
      <c r="AQ264" s="39"/>
      <c r="AR264" s="39"/>
      <c r="AS264" s="39"/>
      <c r="AT264" s="39"/>
      <c r="AU264" s="39"/>
      <c r="AV264" s="39"/>
      <c r="AW264" s="39"/>
      <c r="AX264" s="39"/>
      <c r="AY264" s="39"/>
      <c r="AZ264" s="39"/>
      <c r="BA264" s="39"/>
      <c r="BB264" s="39"/>
      <c r="BC264" s="39"/>
      <c r="BD264" s="39"/>
      <c r="BE264" s="39"/>
      <c r="BF264" s="39"/>
      <c r="BG264" s="39"/>
      <c r="BH264" s="39"/>
      <c r="BI264" s="39"/>
      <c r="BJ264" s="39"/>
      <c r="BK264" s="39"/>
      <c r="BL264" s="39"/>
      <c r="BM264" s="39"/>
      <c r="BN264" s="39"/>
      <c r="BO264" s="39"/>
      <c r="BP264" s="39"/>
      <c r="BQ264" s="39"/>
      <c r="BR264" s="39"/>
      <c r="BS264" s="39"/>
      <c r="BT264" s="39"/>
      <c r="BU264" s="39"/>
      <c r="BV264" s="39"/>
      <c r="BW264" s="39"/>
      <c r="BX264" s="39"/>
      <c r="BY264" s="39"/>
      <c r="BZ264" s="39"/>
      <c r="CA264" s="39"/>
      <c r="CB264" s="39"/>
      <c r="CC264" s="39"/>
      <c r="CD264" s="39"/>
      <c r="CE264" s="39"/>
      <c r="CF264" s="39"/>
      <c r="CG264" s="39"/>
      <c r="CH264" s="39"/>
      <c r="CI264" s="39"/>
      <c r="CJ264" s="39"/>
      <c r="CK264" s="39"/>
      <c r="CL264" s="39"/>
      <c r="CM264" s="39"/>
      <c r="CN264" s="39"/>
      <c r="CO264" s="39"/>
      <c r="CP264" s="39"/>
      <c r="CQ264" s="39"/>
      <c r="CR264" s="39"/>
      <c r="CS264" s="39"/>
      <c r="CT264" s="39"/>
      <c r="CU264" s="39"/>
      <c r="CV264" s="39"/>
      <c r="CW264" s="39"/>
      <c r="CX264" s="39"/>
    </row>
    <row r="265" spans="1:102" ht="291" customHeight="1" x14ac:dyDescent="0.25">
      <c r="A265" s="112"/>
      <c r="B265" s="717" t="s">
        <v>153</v>
      </c>
      <c r="C265" s="252" t="s">
        <v>69</v>
      </c>
      <c r="D265" s="254">
        <v>5</v>
      </c>
      <c r="E265" s="192">
        <v>10</v>
      </c>
      <c r="F265" s="589">
        <v>100</v>
      </c>
      <c r="G265" s="235"/>
      <c r="H265" s="635" t="s">
        <v>1030</v>
      </c>
      <c r="I265" s="39"/>
      <c r="J265" s="39"/>
      <c r="K265" s="138"/>
      <c r="L265" s="39"/>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c r="AQ265" s="39"/>
      <c r="AR265" s="39"/>
      <c r="AS265" s="39"/>
      <c r="AT265" s="39"/>
      <c r="AU265" s="39"/>
      <c r="AV265" s="39"/>
      <c r="AW265" s="39"/>
      <c r="AX265" s="39"/>
      <c r="AY265" s="39"/>
      <c r="AZ265" s="39"/>
      <c r="BA265" s="39"/>
      <c r="BB265" s="39"/>
      <c r="BC265" s="39"/>
      <c r="BD265" s="39"/>
      <c r="BE265" s="39"/>
      <c r="BF265" s="39"/>
      <c r="BG265" s="39"/>
      <c r="BH265" s="39"/>
      <c r="BI265" s="39"/>
      <c r="BJ265" s="39"/>
      <c r="BK265" s="39"/>
      <c r="BL265" s="39"/>
      <c r="BM265" s="39"/>
      <c r="BN265" s="39"/>
      <c r="BO265" s="39"/>
      <c r="BP265" s="39"/>
      <c r="BQ265" s="39"/>
      <c r="BR265" s="39"/>
      <c r="BS265" s="39"/>
      <c r="BT265" s="39"/>
      <c r="BU265" s="39"/>
      <c r="BV265" s="39"/>
      <c r="BW265" s="39"/>
      <c r="BX265" s="39"/>
      <c r="BY265" s="39"/>
      <c r="BZ265" s="39"/>
      <c r="CA265" s="39"/>
      <c r="CB265" s="39"/>
      <c r="CC265" s="39"/>
      <c r="CD265" s="39"/>
      <c r="CE265" s="39"/>
      <c r="CF265" s="39"/>
      <c r="CG265" s="39"/>
      <c r="CH265" s="39"/>
      <c r="CI265" s="39"/>
      <c r="CJ265" s="39"/>
      <c r="CK265" s="39"/>
      <c r="CL265" s="39"/>
      <c r="CM265" s="39"/>
      <c r="CN265" s="39"/>
      <c r="CO265" s="39"/>
      <c r="CP265" s="39"/>
      <c r="CQ265" s="39"/>
      <c r="CR265" s="39"/>
      <c r="CS265" s="39"/>
      <c r="CT265" s="39"/>
      <c r="CU265" s="39"/>
      <c r="CV265" s="39"/>
      <c r="CW265" s="39"/>
      <c r="CX265" s="39"/>
    </row>
    <row r="266" spans="1:102" s="34" customFormat="1" ht="36" customHeight="1" x14ac:dyDescent="0.25">
      <c r="A266" s="279">
        <v>16</v>
      </c>
      <c r="B266" s="799" t="str">
        <f>свод!B122</f>
        <v xml:space="preserve">Муниципальная программа «Развитие физической культуры и спорта в МР «Горный улус» на 2018-2024 годы» </v>
      </c>
      <c r="C266" s="799"/>
      <c r="D266" s="799"/>
      <c r="E266" s="799"/>
      <c r="F266" s="799"/>
      <c r="G266" s="591">
        <f>AVERAGE(F268:F272)</f>
        <v>99.475083056478411</v>
      </c>
      <c r="H266" s="215"/>
    </row>
    <row r="267" spans="1:102" ht="36" customHeight="1" x14ac:dyDescent="0.25">
      <c r="A267" s="25"/>
      <c r="B267" s="797" t="s">
        <v>941</v>
      </c>
      <c r="C267" s="797"/>
      <c r="D267" s="797"/>
      <c r="E267" s="797"/>
      <c r="F267" s="797"/>
      <c r="G267" s="25"/>
    </row>
    <row r="268" spans="1:102" ht="81" customHeight="1" x14ac:dyDescent="0.25">
      <c r="A268" s="25"/>
      <c r="B268" s="684" t="s">
        <v>311</v>
      </c>
      <c r="C268" s="28" t="s">
        <v>39</v>
      </c>
      <c r="D268" s="256">
        <v>47.1</v>
      </c>
      <c r="E268" s="26">
        <v>54.3</v>
      </c>
      <c r="F268" s="589">
        <v>100</v>
      </c>
      <c r="G268" s="25"/>
      <c r="H268" s="588" t="s">
        <v>1155</v>
      </c>
      <c r="K268" s="138"/>
    </row>
    <row r="269" spans="1:102" ht="68.25" customHeight="1" x14ac:dyDescent="0.25">
      <c r="A269" s="25"/>
      <c r="B269" s="685" t="s">
        <v>312</v>
      </c>
      <c r="C269" s="28" t="s">
        <v>39</v>
      </c>
      <c r="D269" s="257">
        <v>60.2</v>
      </c>
      <c r="E269" s="26">
        <v>58.62</v>
      </c>
      <c r="F269" s="589">
        <f>E269/D269*100</f>
        <v>97.375415282392026</v>
      </c>
      <c r="G269" s="25"/>
      <c r="H269" s="656" t="s">
        <v>1159</v>
      </c>
    </row>
    <row r="270" spans="1:102" ht="136.5" customHeight="1" x14ac:dyDescent="0.25">
      <c r="A270" s="25"/>
      <c r="B270" s="685" t="s">
        <v>313</v>
      </c>
      <c r="C270" s="28" t="s">
        <v>69</v>
      </c>
      <c r="D270" s="257">
        <v>32</v>
      </c>
      <c r="E270" s="251">
        <v>66</v>
      </c>
      <c r="F270" s="589">
        <v>100</v>
      </c>
      <c r="G270" s="25"/>
      <c r="H270" s="656" t="s">
        <v>1157</v>
      </c>
      <c r="K270" s="138"/>
    </row>
    <row r="271" spans="1:102" ht="50.25" customHeight="1" x14ac:dyDescent="0.25">
      <c r="A271" s="25"/>
      <c r="B271" s="685" t="s">
        <v>314</v>
      </c>
      <c r="C271" s="191" t="s">
        <v>39</v>
      </c>
      <c r="D271" s="258">
        <v>12.1</v>
      </c>
      <c r="E271" s="26">
        <v>24.6</v>
      </c>
      <c r="F271" s="589">
        <v>100</v>
      </c>
      <c r="G271" s="25"/>
      <c r="H271" s="588" t="s">
        <v>1156</v>
      </c>
      <c r="K271" s="138"/>
    </row>
    <row r="272" spans="1:102" ht="72.75" customHeight="1" x14ac:dyDescent="0.25">
      <c r="A272" s="25"/>
      <c r="B272" s="685" t="s">
        <v>315</v>
      </c>
      <c r="C272" s="24" t="s">
        <v>69</v>
      </c>
      <c r="D272" s="24">
        <v>54</v>
      </c>
      <c r="E272" s="26">
        <v>55</v>
      </c>
      <c r="F272" s="589">
        <v>100</v>
      </c>
      <c r="G272" s="25"/>
      <c r="H272" s="656" t="s">
        <v>1158</v>
      </c>
      <c r="K272" s="138"/>
    </row>
    <row r="273" spans="1:102" s="34" customFormat="1" ht="32.25" customHeight="1" x14ac:dyDescent="0.25">
      <c r="A273" s="279">
        <v>17</v>
      </c>
      <c r="B273" s="799" t="str">
        <f>свод!B334</f>
        <v>Муниципальная программа «Создание условий для духовно-культурного развития граждан  Горного улуса  на 2020 - 2024 годы»</v>
      </c>
      <c r="C273" s="799"/>
      <c r="D273" s="799"/>
      <c r="E273" s="799"/>
      <c r="F273" s="799"/>
      <c r="G273" s="591">
        <f>AVERAGE(F276,F277,F278,F279,F281,F282,F283,F284,F285,F286,F287,F289,F290,F291,F292,F293,F294,F295,F296,F299,F300,F301,F302,F308,F309)</f>
        <v>95.666818706372396</v>
      </c>
      <c r="H273" s="215"/>
    </row>
    <row r="274" spans="1:102" ht="30" customHeight="1" x14ac:dyDescent="0.25">
      <c r="A274" s="25"/>
      <c r="B274" s="797" t="s">
        <v>933</v>
      </c>
      <c r="C274" s="797"/>
      <c r="D274" s="797"/>
      <c r="E274" s="797"/>
      <c r="F274" s="797"/>
      <c r="G274" s="235"/>
      <c r="H274" s="227"/>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c r="CA274" s="39"/>
      <c r="CB274" s="39"/>
      <c r="CC274" s="39"/>
      <c r="CD274" s="39"/>
      <c r="CE274" s="39"/>
      <c r="CF274" s="39"/>
      <c r="CG274" s="39"/>
      <c r="CH274" s="39"/>
      <c r="CI274" s="39"/>
      <c r="CJ274" s="39"/>
      <c r="CK274" s="39"/>
      <c r="CL274" s="39"/>
      <c r="CM274" s="39"/>
      <c r="CN274" s="39"/>
      <c r="CO274" s="39"/>
      <c r="CP274" s="39"/>
      <c r="CQ274" s="39"/>
      <c r="CR274" s="39"/>
      <c r="CS274" s="39"/>
      <c r="CT274" s="39"/>
      <c r="CU274" s="39"/>
      <c r="CV274" s="39"/>
      <c r="CW274" s="39"/>
      <c r="CX274" s="39"/>
    </row>
    <row r="275" spans="1:102" ht="13.5" customHeight="1" x14ac:dyDescent="0.25">
      <c r="A275" s="25"/>
      <c r="B275" s="796" t="s">
        <v>54</v>
      </c>
      <c r="C275" s="796"/>
      <c r="D275" s="796"/>
      <c r="E275" s="796"/>
      <c r="F275" s="796"/>
      <c r="G275" s="235"/>
      <c r="H275" s="227"/>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c r="CA275" s="39"/>
      <c r="CB275" s="39"/>
      <c r="CC275" s="39"/>
      <c r="CD275" s="39"/>
      <c r="CE275" s="39"/>
      <c r="CF275" s="39"/>
      <c r="CG275" s="39"/>
      <c r="CH275" s="39"/>
      <c r="CI275" s="39"/>
      <c r="CJ275" s="39"/>
      <c r="CK275" s="39"/>
      <c r="CL275" s="39"/>
      <c r="CM275" s="39"/>
      <c r="CN275" s="39"/>
      <c r="CO275" s="39"/>
      <c r="CP275" s="39"/>
      <c r="CQ275" s="39"/>
      <c r="CR275" s="39"/>
      <c r="CS275" s="39"/>
      <c r="CT275" s="39"/>
      <c r="CU275" s="39"/>
      <c r="CV275" s="39"/>
      <c r="CW275" s="39"/>
      <c r="CX275" s="39"/>
    </row>
    <row r="276" spans="1:102" ht="25.5" customHeight="1" x14ac:dyDescent="0.25">
      <c r="A276" s="25"/>
      <c r="B276" s="701" t="s">
        <v>1052</v>
      </c>
      <c r="C276" s="207" t="s">
        <v>52</v>
      </c>
      <c r="D276" s="208">
        <v>78468</v>
      </c>
      <c r="E276" s="259">
        <v>59453</v>
      </c>
      <c r="F276" s="589">
        <f>SUM(E276/D276*100)</f>
        <v>75.767191721466077</v>
      </c>
      <c r="G276" s="235"/>
      <c r="H276" s="227" t="s">
        <v>1164</v>
      </c>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c r="AZ276" s="39"/>
      <c r="BA276" s="39"/>
      <c r="BB276" s="39"/>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c r="CA276" s="39"/>
      <c r="CB276" s="39"/>
      <c r="CC276" s="39"/>
      <c r="CD276" s="39"/>
      <c r="CE276" s="39"/>
      <c r="CF276" s="39"/>
      <c r="CG276" s="39"/>
      <c r="CH276" s="39"/>
      <c r="CI276" s="39"/>
      <c r="CJ276" s="39"/>
      <c r="CK276" s="39"/>
      <c r="CL276" s="39"/>
      <c r="CM276" s="39"/>
      <c r="CN276" s="39"/>
      <c r="CO276" s="39"/>
      <c r="CP276" s="39"/>
      <c r="CQ276" s="39"/>
      <c r="CR276" s="39"/>
      <c r="CS276" s="39"/>
      <c r="CT276" s="39"/>
      <c r="CU276" s="39"/>
      <c r="CV276" s="39"/>
      <c r="CW276" s="39"/>
      <c r="CX276" s="39"/>
    </row>
    <row r="277" spans="1:102" ht="25.5" customHeight="1" x14ac:dyDescent="0.25">
      <c r="A277" s="25"/>
      <c r="B277" s="701" t="s">
        <v>55</v>
      </c>
      <c r="C277" s="207" t="s">
        <v>52</v>
      </c>
      <c r="D277" s="208">
        <v>2498</v>
      </c>
      <c r="E277" s="259">
        <v>3111</v>
      </c>
      <c r="F277" s="589">
        <v>100</v>
      </c>
      <c r="G277" s="235"/>
      <c r="H277" s="227" t="s">
        <v>1164</v>
      </c>
      <c r="I277" s="39"/>
      <c r="J277" s="39"/>
      <c r="K277" s="138"/>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c r="CA277" s="39"/>
      <c r="CB277" s="39"/>
      <c r="CC277" s="39"/>
      <c r="CD277" s="39"/>
      <c r="CE277" s="39"/>
      <c r="CF277" s="39"/>
      <c r="CG277" s="39"/>
      <c r="CH277" s="39"/>
      <c r="CI277" s="39"/>
      <c r="CJ277" s="39"/>
      <c r="CK277" s="39"/>
      <c r="CL277" s="39"/>
      <c r="CM277" s="39"/>
      <c r="CN277" s="39"/>
      <c r="CO277" s="39"/>
      <c r="CP277" s="39"/>
      <c r="CQ277" s="39"/>
      <c r="CR277" s="39"/>
      <c r="CS277" s="39"/>
      <c r="CT277" s="39"/>
      <c r="CU277" s="39"/>
      <c r="CV277" s="39"/>
      <c r="CW277" s="39"/>
      <c r="CX277" s="39"/>
    </row>
    <row r="278" spans="1:102" ht="148.5" customHeight="1" x14ac:dyDescent="0.25">
      <c r="A278" s="25"/>
      <c r="B278" s="701" t="s">
        <v>316</v>
      </c>
      <c r="C278" s="207" t="s">
        <v>56</v>
      </c>
      <c r="D278" s="208">
        <v>5</v>
      </c>
      <c r="E278" s="260">
        <v>5</v>
      </c>
      <c r="F278" s="589">
        <f t="shared" ref="F278:F296" si="1">SUM(E278/D278*100)</f>
        <v>100</v>
      </c>
      <c r="G278" s="235"/>
      <c r="H278" s="228" t="s">
        <v>1166</v>
      </c>
      <c r="I278" s="39"/>
      <c r="J278" s="39"/>
      <c r="K278" s="138"/>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c r="CA278" s="39"/>
      <c r="CB278" s="39"/>
      <c r="CC278" s="39"/>
      <c r="CD278" s="39"/>
      <c r="CE278" s="39"/>
      <c r="CF278" s="39"/>
      <c r="CG278" s="39"/>
      <c r="CH278" s="39"/>
      <c r="CI278" s="39"/>
      <c r="CJ278" s="39"/>
      <c r="CK278" s="39"/>
      <c r="CL278" s="39"/>
      <c r="CM278" s="39"/>
      <c r="CN278" s="39"/>
      <c r="CO278" s="39"/>
      <c r="CP278" s="39"/>
      <c r="CQ278" s="39"/>
      <c r="CR278" s="39"/>
      <c r="CS278" s="39"/>
      <c r="CT278" s="39"/>
      <c r="CU278" s="39"/>
      <c r="CV278" s="39"/>
      <c r="CW278" s="39"/>
      <c r="CX278" s="39"/>
    </row>
    <row r="279" spans="1:102" ht="34.5" customHeight="1" x14ac:dyDescent="0.25">
      <c r="A279" s="25"/>
      <c r="B279" s="701" t="s">
        <v>57</v>
      </c>
      <c r="C279" s="207" t="s">
        <v>52</v>
      </c>
      <c r="D279" s="208">
        <v>51</v>
      </c>
      <c r="E279" s="260">
        <v>51</v>
      </c>
      <c r="F279" s="589">
        <f t="shared" si="1"/>
        <v>100</v>
      </c>
      <c r="G279" s="235"/>
      <c r="H279" s="227" t="s">
        <v>1164</v>
      </c>
      <c r="I279" s="39"/>
      <c r="J279" s="39"/>
      <c r="K279" s="138"/>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c r="CA279" s="39"/>
      <c r="CB279" s="39"/>
      <c r="CC279" s="39"/>
      <c r="CD279" s="39"/>
      <c r="CE279" s="39"/>
      <c r="CF279" s="39"/>
      <c r="CG279" s="39"/>
      <c r="CH279" s="39"/>
      <c r="CI279" s="39"/>
      <c r="CJ279" s="39"/>
      <c r="CK279" s="39"/>
      <c r="CL279" s="39"/>
      <c r="CM279" s="39"/>
      <c r="CN279" s="39"/>
      <c r="CO279" s="39"/>
      <c r="CP279" s="39"/>
      <c r="CQ279" s="39"/>
      <c r="CR279" s="39"/>
      <c r="CS279" s="39"/>
      <c r="CT279" s="39"/>
      <c r="CU279" s="39"/>
      <c r="CV279" s="39"/>
      <c r="CW279" s="39"/>
      <c r="CX279" s="39"/>
    </row>
    <row r="280" spans="1:102" x14ac:dyDescent="0.25">
      <c r="A280" s="25"/>
      <c r="B280" s="795" t="s">
        <v>58</v>
      </c>
      <c r="C280" s="795"/>
      <c r="D280" s="795"/>
      <c r="E280" s="795"/>
      <c r="F280" s="795"/>
      <c r="G280" s="235"/>
      <c r="H280" s="227"/>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c r="CA280" s="39"/>
      <c r="CB280" s="39"/>
      <c r="CC280" s="39"/>
      <c r="CD280" s="39"/>
      <c r="CE280" s="39"/>
      <c r="CF280" s="39"/>
      <c r="CG280" s="39"/>
      <c r="CH280" s="39"/>
      <c r="CI280" s="39"/>
      <c r="CJ280" s="39"/>
      <c r="CK280" s="39"/>
      <c r="CL280" s="39"/>
      <c r="CM280" s="39"/>
      <c r="CN280" s="39"/>
      <c r="CO280" s="39"/>
      <c r="CP280" s="39"/>
      <c r="CQ280" s="39"/>
      <c r="CR280" s="39"/>
      <c r="CS280" s="39"/>
      <c r="CT280" s="39"/>
      <c r="CU280" s="39"/>
      <c r="CV280" s="39"/>
      <c r="CW280" s="39"/>
      <c r="CX280" s="39"/>
    </row>
    <row r="281" spans="1:102" ht="27.75" customHeight="1" x14ac:dyDescent="0.25">
      <c r="A281" s="25"/>
      <c r="B281" s="665" t="s">
        <v>59</v>
      </c>
      <c r="C281" s="260" t="s">
        <v>39</v>
      </c>
      <c r="D281" s="260">
        <v>63.5</v>
      </c>
      <c r="E281" s="260">
        <v>63.2</v>
      </c>
      <c r="F281" s="589">
        <f t="shared" si="1"/>
        <v>99.527559055118118</v>
      </c>
      <c r="G281" s="235"/>
      <c r="H281" s="227" t="s">
        <v>1164</v>
      </c>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c r="CA281" s="39"/>
      <c r="CB281" s="39"/>
      <c r="CC281" s="39"/>
      <c r="CD281" s="39"/>
      <c r="CE281" s="39"/>
      <c r="CF281" s="39"/>
      <c r="CG281" s="39"/>
      <c r="CH281" s="39"/>
      <c r="CI281" s="39"/>
      <c r="CJ281" s="39"/>
      <c r="CK281" s="39"/>
      <c r="CL281" s="39"/>
      <c r="CM281" s="39"/>
      <c r="CN281" s="39"/>
      <c r="CO281" s="39"/>
      <c r="CP281" s="39"/>
      <c r="CQ281" s="39"/>
      <c r="CR281" s="39"/>
      <c r="CS281" s="39"/>
      <c r="CT281" s="39"/>
      <c r="CU281" s="39"/>
      <c r="CV281" s="39"/>
      <c r="CW281" s="39"/>
      <c r="CX281" s="39"/>
    </row>
    <row r="282" spans="1:102" ht="51.75" customHeight="1" x14ac:dyDescent="0.25">
      <c r="A282" s="25"/>
      <c r="B282" s="718" t="s">
        <v>60</v>
      </c>
      <c r="C282" s="207" t="s">
        <v>61</v>
      </c>
      <c r="D282" s="207">
        <v>9.8770000000000007</v>
      </c>
      <c r="E282" s="260">
        <v>10.3</v>
      </c>
      <c r="F282" s="589">
        <v>100</v>
      </c>
      <c r="G282" s="235"/>
      <c r="H282" s="723" t="s">
        <v>1167</v>
      </c>
      <c r="I282" s="39"/>
      <c r="J282" s="39"/>
      <c r="K282" s="138"/>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c r="CA282" s="39"/>
      <c r="CB282" s="39"/>
      <c r="CC282" s="39"/>
      <c r="CD282" s="39"/>
      <c r="CE282" s="39"/>
      <c r="CF282" s="39"/>
      <c r="CG282" s="39"/>
      <c r="CH282" s="39"/>
      <c r="CI282" s="39"/>
      <c r="CJ282" s="39"/>
      <c r="CK282" s="39"/>
      <c r="CL282" s="39"/>
      <c r="CM282" s="39"/>
      <c r="CN282" s="39"/>
      <c r="CO282" s="39"/>
      <c r="CP282" s="39"/>
      <c r="CQ282" s="39"/>
      <c r="CR282" s="39"/>
      <c r="CS282" s="39"/>
      <c r="CT282" s="39"/>
      <c r="CU282" s="39"/>
      <c r="CV282" s="39"/>
      <c r="CW282" s="39"/>
      <c r="CX282" s="39"/>
    </row>
    <row r="283" spans="1:102" ht="33" customHeight="1" x14ac:dyDescent="0.25">
      <c r="A283" s="25"/>
      <c r="B283" s="718" t="s">
        <v>62</v>
      </c>
      <c r="C283" s="666" t="s">
        <v>39</v>
      </c>
      <c r="D283" s="666">
        <v>3.5</v>
      </c>
      <c r="E283" s="261">
        <v>2.2999999999999998</v>
      </c>
      <c r="F283" s="589">
        <f t="shared" si="1"/>
        <v>65.714285714285708</v>
      </c>
      <c r="G283" s="235"/>
      <c r="H283" s="724" t="s">
        <v>1168</v>
      </c>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c r="CA283" s="39"/>
      <c r="CB283" s="39"/>
      <c r="CC283" s="39"/>
      <c r="CD283" s="39"/>
      <c r="CE283" s="39"/>
      <c r="CF283" s="39"/>
      <c r="CG283" s="39"/>
      <c r="CH283" s="39"/>
      <c r="CI283" s="39"/>
      <c r="CJ283" s="39"/>
      <c r="CK283" s="39"/>
      <c r="CL283" s="39"/>
      <c r="CM283" s="39"/>
      <c r="CN283" s="39"/>
      <c r="CO283" s="39"/>
      <c r="CP283" s="39"/>
      <c r="CQ283" s="39"/>
      <c r="CR283" s="39"/>
      <c r="CS283" s="39"/>
      <c r="CT283" s="39"/>
      <c r="CU283" s="39"/>
      <c r="CV283" s="39"/>
      <c r="CW283" s="39"/>
      <c r="CX283" s="39"/>
    </row>
    <row r="284" spans="1:102" ht="74.25" customHeight="1" x14ac:dyDescent="0.25">
      <c r="A284" s="25"/>
      <c r="B284" s="718" t="s">
        <v>63</v>
      </c>
      <c r="C284" s="666" t="s">
        <v>39</v>
      </c>
      <c r="D284" s="666">
        <v>0.88</v>
      </c>
      <c r="E284" s="666">
        <v>0.98</v>
      </c>
      <c r="F284" s="589">
        <v>100</v>
      </c>
      <c r="G284" s="235"/>
      <c r="H284" s="723" t="s">
        <v>1167</v>
      </c>
      <c r="I284" s="39"/>
      <c r="J284" s="39"/>
      <c r="K284" s="138"/>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c r="CA284" s="39"/>
      <c r="CB284" s="39"/>
      <c r="CC284" s="39"/>
      <c r="CD284" s="39"/>
      <c r="CE284" s="39"/>
      <c r="CF284" s="39"/>
      <c r="CG284" s="39"/>
      <c r="CH284" s="39"/>
      <c r="CI284" s="39"/>
      <c r="CJ284" s="39"/>
      <c r="CK284" s="39"/>
      <c r="CL284" s="39"/>
      <c r="CM284" s="39"/>
      <c r="CN284" s="39"/>
      <c r="CO284" s="39"/>
      <c r="CP284" s="39"/>
      <c r="CQ284" s="39"/>
      <c r="CR284" s="39"/>
      <c r="CS284" s="39"/>
      <c r="CT284" s="39"/>
      <c r="CU284" s="39"/>
      <c r="CV284" s="39"/>
      <c r="CW284" s="39"/>
      <c r="CX284" s="39"/>
    </row>
    <row r="285" spans="1:102" ht="49.5" customHeight="1" x14ac:dyDescent="0.25">
      <c r="A285" s="25"/>
      <c r="B285" s="718" t="s">
        <v>64</v>
      </c>
      <c r="C285" s="666" t="s">
        <v>39</v>
      </c>
      <c r="D285" s="666">
        <v>90</v>
      </c>
      <c r="E285" s="666">
        <v>80</v>
      </c>
      <c r="F285" s="589">
        <f t="shared" si="1"/>
        <v>88.888888888888886</v>
      </c>
      <c r="G285" s="235"/>
      <c r="H285" s="725" t="s">
        <v>1202</v>
      </c>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c r="AZ285" s="39"/>
      <c r="BA285" s="39"/>
      <c r="BB285" s="39"/>
      <c r="BC285" s="39"/>
      <c r="BD285" s="39"/>
      <c r="BE285" s="39"/>
      <c r="BF285" s="39"/>
      <c r="BG285" s="39"/>
      <c r="BH285" s="39"/>
      <c r="BI285" s="39"/>
      <c r="BJ285" s="39"/>
      <c r="BK285" s="39"/>
      <c r="BL285" s="39"/>
      <c r="BM285" s="39"/>
      <c r="BN285" s="39"/>
      <c r="BO285" s="39"/>
      <c r="BP285" s="39"/>
      <c r="BQ285" s="39"/>
      <c r="BR285" s="39"/>
      <c r="BS285" s="39"/>
      <c r="BT285" s="39"/>
      <c r="BU285" s="39"/>
      <c r="BV285" s="39"/>
      <c r="BW285" s="39"/>
      <c r="BX285" s="39"/>
      <c r="BY285" s="39"/>
      <c r="BZ285" s="39"/>
      <c r="CA285" s="39"/>
      <c r="CB285" s="39"/>
      <c r="CC285" s="39"/>
      <c r="CD285" s="39"/>
      <c r="CE285" s="39"/>
      <c r="CF285" s="39"/>
      <c r="CG285" s="39"/>
      <c r="CH285" s="39"/>
      <c r="CI285" s="39"/>
      <c r="CJ285" s="39"/>
      <c r="CK285" s="39"/>
      <c r="CL285" s="39"/>
      <c r="CM285" s="39"/>
      <c r="CN285" s="39"/>
      <c r="CO285" s="39"/>
      <c r="CP285" s="39"/>
      <c r="CQ285" s="39"/>
      <c r="CR285" s="39"/>
      <c r="CS285" s="39"/>
      <c r="CT285" s="39"/>
      <c r="CU285" s="39"/>
      <c r="CV285" s="39"/>
      <c r="CW285" s="39"/>
      <c r="CX285" s="39"/>
    </row>
    <row r="286" spans="1:102" ht="40.5" customHeight="1" x14ac:dyDescent="0.25">
      <c r="A286" s="25"/>
      <c r="B286" s="718" t="s">
        <v>65</v>
      </c>
      <c r="C286" s="666" t="s">
        <v>39</v>
      </c>
      <c r="D286" s="666">
        <v>10</v>
      </c>
      <c r="E286" s="666">
        <v>10</v>
      </c>
      <c r="F286" s="589">
        <f t="shared" si="1"/>
        <v>100</v>
      </c>
      <c r="G286" s="235"/>
      <c r="H286" s="725" t="s">
        <v>1169</v>
      </c>
      <c r="I286" s="39"/>
      <c r="J286" s="39"/>
      <c r="K286" s="138"/>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9"/>
      <c r="CJ286" s="39"/>
      <c r="CK286" s="39"/>
      <c r="CL286" s="39"/>
      <c r="CM286" s="39"/>
      <c r="CN286" s="39"/>
      <c r="CO286" s="39"/>
      <c r="CP286" s="39"/>
      <c r="CQ286" s="39"/>
      <c r="CR286" s="39"/>
      <c r="CS286" s="39"/>
      <c r="CT286" s="39"/>
      <c r="CU286" s="39"/>
      <c r="CV286" s="39"/>
      <c r="CW286" s="39"/>
      <c r="CX286" s="39"/>
    </row>
    <row r="287" spans="1:102" ht="40.5" customHeight="1" x14ac:dyDescent="0.25">
      <c r="A287" s="25"/>
      <c r="B287" s="718" t="s">
        <v>66</v>
      </c>
      <c r="C287" s="666" t="s">
        <v>73</v>
      </c>
      <c r="D287" s="666">
        <v>5200</v>
      </c>
      <c r="E287" s="666">
        <v>5452</v>
      </c>
      <c r="F287" s="589">
        <v>100</v>
      </c>
      <c r="G287" s="235"/>
      <c r="H287" s="725" t="s">
        <v>1170</v>
      </c>
      <c r="I287" s="39"/>
      <c r="J287" s="39"/>
      <c r="K287" s="138"/>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c r="CA287" s="39"/>
      <c r="CB287" s="39"/>
      <c r="CC287" s="39"/>
      <c r="CD287" s="39"/>
      <c r="CE287" s="39"/>
      <c r="CF287" s="39"/>
      <c r="CG287" s="39"/>
      <c r="CH287" s="39"/>
      <c r="CI287" s="39"/>
      <c r="CJ287" s="39"/>
      <c r="CK287" s="39"/>
      <c r="CL287" s="39"/>
      <c r="CM287" s="39"/>
      <c r="CN287" s="39"/>
      <c r="CO287" s="39"/>
      <c r="CP287" s="39"/>
      <c r="CQ287" s="39"/>
      <c r="CR287" s="39"/>
      <c r="CS287" s="39"/>
      <c r="CT287" s="39"/>
      <c r="CU287" s="39"/>
      <c r="CV287" s="39"/>
      <c r="CW287" s="39"/>
      <c r="CX287" s="39"/>
    </row>
    <row r="288" spans="1:102" x14ac:dyDescent="0.25">
      <c r="A288" s="25"/>
      <c r="B288" s="795" t="s">
        <v>317</v>
      </c>
      <c r="C288" s="795"/>
      <c r="D288" s="795"/>
      <c r="E288" s="795"/>
      <c r="F288" s="795"/>
      <c r="G288" s="235"/>
      <c r="H288" s="227"/>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c r="CA288" s="39"/>
      <c r="CB288" s="39"/>
      <c r="CC288" s="39"/>
      <c r="CD288" s="39"/>
      <c r="CE288" s="39"/>
      <c r="CF288" s="39"/>
      <c r="CG288" s="39"/>
      <c r="CH288" s="39"/>
      <c r="CI288" s="39"/>
      <c r="CJ288" s="39"/>
      <c r="CK288" s="39"/>
      <c r="CL288" s="39"/>
      <c r="CM288" s="39"/>
      <c r="CN288" s="39"/>
      <c r="CO288" s="39"/>
      <c r="CP288" s="39"/>
      <c r="CQ288" s="39"/>
      <c r="CR288" s="39"/>
      <c r="CS288" s="39"/>
      <c r="CT288" s="39"/>
      <c r="CU288" s="39"/>
      <c r="CV288" s="39"/>
      <c r="CW288" s="39"/>
      <c r="CX288" s="39"/>
    </row>
    <row r="289" spans="1:102" ht="48.75" customHeight="1" x14ac:dyDescent="0.25">
      <c r="A289" s="25"/>
      <c r="B289" s="701" t="s">
        <v>67</v>
      </c>
      <c r="C289" s="207" t="s">
        <v>39</v>
      </c>
      <c r="D289" s="207">
        <v>37</v>
      </c>
      <c r="E289" s="624">
        <v>55.8</v>
      </c>
      <c r="F289" s="589">
        <v>100</v>
      </c>
      <c r="G289" s="235"/>
      <c r="H289" s="726" t="s">
        <v>1171</v>
      </c>
      <c r="I289" s="39"/>
      <c r="J289" s="39"/>
      <c r="K289" s="138"/>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9"/>
      <c r="CJ289" s="39"/>
      <c r="CK289" s="39"/>
      <c r="CL289" s="39"/>
      <c r="CM289" s="39"/>
      <c r="CN289" s="39"/>
      <c r="CO289" s="39"/>
      <c r="CP289" s="39"/>
      <c r="CQ289" s="39"/>
      <c r="CR289" s="39"/>
      <c r="CS289" s="39"/>
      <c r="CT289" s="39"/>
      <c r="CU289" s="39"/>
      <c r="CV289" s="39"/>
      <c r="CW289" s="39"/>
      <c r="CX289" s="39"/>
    </row>
    <row r="290" spans="1:102" ht="49.5" customHeight="1" x14ac:dyDescent="0.25">
      <c r="A290" s="25"/>
      <c r="B290" s="701" t="s">
        <v>68</v>
      </c>
      <c r="C290" s="207" t="s">
        <v>69</v>
      </c>
      <c r="D290" s="207">
        <v>1450</v>
      </c>
      <c r="E290" s="203">
        <v>3601</v>
      </c>
      <c r="F290" s="589">
        <v>100</v>
      </c>
      <c r="G290" s="235"/>
      <c r="H290" s="726" t="s">
        <v>1171</v>
      </c>
      <c r="I290" s="39"/>
      <c r="J290" s="39"/>
      <c r="K290" s="138"/>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c r="CA290" s="39"/>
      <c r="CB290" s="39"/>
      <c r="CC290" s="39"/>
      <c r="CD290" s="39"/>
      <c r="CE290" s="39"/>
      <c r="CF290" s="39"/>
      <c r="CG290" s="39"/>
      <c r="CH290" s="39"/>
      <c r="CI290" s="39"/>
      <c r="CJ290" s="39"/>
      <c r="CK290" s="39"/>
      <c r="CL290" s="39"/>
      <c r="CM290" s="39"/>
      <c r="CN290" s="39"/>
      <c r="CO290" s="39"/>
      <c r="CP290" s="39"/>
      <c r="CQ290" s="39"/>
      <c r="CR290" s="39"/>
      <c r="CS290" s="39"/>
      <c r="CT290" s="39"/>
      <c r="CU290" s="39"/>
      <c r="CV290" s="39"/>
      <c r="CW290" s="39"/>
      <c r="CX290" s="39"/>
    </row>
    <row r="291" spans="1:102" ht="19.5" customHeight="1" x14ac:dyDescent="0.25">
      <c r="A291" s="25"/>
      <c r="B291" s="701" t="s">
        <v>70</v>
      </c>
      <c r="C291" s="207" t="s">
        <v>69</v>
      </c>
      <c r="D291" s="207">
        <v>6720</v>
      </c>
      <c r="E291" s="203">
        <v>8732</v>
      </c>
      <c r="F291" s="589">
        <v>100</v>
      </c>
      <c r="G291" s="235"/>
      <c r="H291" s="726" t="s">
        <v>1171</v>
      </c>
      <c r="I291" s="39"/>
      <c r="J291" s="39"/>
      <c r="K291" s="138"/>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39"/>
      <c r="AZ291" s="39"/>
      <c r="BA291" s="39"/>
      <c r="BB291" s="39"/>
      <c r="BC291" s="39"/>
      <c r="BD291" s="39"/>
      <c r="BE291" s="39"/>
      <c r="BF291" s="39"/>
      <c r="BG291" s="39"/>
      <c r="BH291" s="39"/>
      <c r="BI291" s="39"/>
      <c r="BJ291" s="39"/>
      <c r="BK291" s="39"/>
      <c r="BL291" s="39"/>
      <c r="BM291" s="39"/>
      <c r="BN291" s="39"/>
      <c r="BO291" s="39"/>
      <c r="BP291" s="39"/>
      <c r="BQ291" s="39"/>
      <c r="BR291" s="39"/>
      <c r="BS291" s="39"/>
      <c r="BT291" s="39"/>
      <c r="BU291" s="39"/>
      <c r="BV291" s="39"/>
      <c r="BW291" s="39"/>
      <c r="BX291" s="39"/>
      <c r="BY291" s="39"/>
      <c r="BZ291" s="39"/>
      <c r="CA291" s="39"/>
      <c r="CB291" s="39"/>
      <c r="CC291" s="39"/>
      <c r="CD291" s="39"/>
      <c r="CE291" s="39"/>
      <c r="CF291" s="39"/>
      <c r="CG291" s="39"/>
      <c r="CH291" s="39"/>
      <c r="CI291" s="39"/>
      <c r="CJ291" s="39"/>
      <c r="CK291" s="39"/>
      <c r="CL291" s="39"/>
      <c r="CM291" s="39"/>
      <c r="CN291" s="39"/>
      <c r="CO291" s="39"/>
      <c r="CP291" s="39"/>
      <c r="CQ291" s="39"/>
      <c r="CR291" s="39"/>
      <c r="CS291" s="39"/>
      <c r="CT291" s="39"/>
      <c r="CU291" s="39"/>
      <c r="CV291" s="39"/>
      <c r="CW291" s="39"/>
      <c r="CX291" s="39"/>
    </row>
    <row r="292" spans="1:102" ht="39" customHeight="1" x14ac:dyDescent="0.25">
      <c r="A292" s="25"/>
      <c r="B292" s="701" t="s">
        <v>71</v>
      </c>
      <c r="C292" s="207" t="s">
        <v>69</v>
      </c>
      <c r="D292" s="207">
        <v>74</v>
      </c>
      <c r="E292" s="203">
        <v>54</v>
      </c>
      <c r="F292" s="589">
        <f t="shared" si="1"/>
        <v>72.972972972972968</v>
      </c>
      <c r="G292" s="235"/>
      <c r="H292" s="726" t="s">
        <v>1171</v>
      </c>
      <c r="I292" s="39"/>
      <c r="J292" s="39"/>
      <c r="K292" s="39"/>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c r="AQ292" s="39"/>
      <c r="AR292" s="39"/>
      <c r="AS292" s="39"/>
      <c r="AT292" s="39"/>
      <c r="AU292" s="39"/>
      <c r="AV292" s="39"/>
      <c r="AW292" s="39"/>
      <c r="AX292" s="39"/>
      <c r="AY292" s="39"/>
      <c r="AZ292" s="39"/>
      <c r="BA292" s="39"/>
      <c r="BB292" s="39"/>
      <c r="BC292" s="39"/>
      <c r="BD292" s="39"/>
      <c r="BE292" s="39"/>
      <c r="BF292" s="39"/>
      <c r="BG292" s="39"/>
      <c r="BH292" s="39"/>
      <c r="BI292" s="39"/>
      <c r="BJ292" s="39"/>
      <c r="BK292" s="39"/>
      <c r="BL292" s="39"/>
      <c r="BM292" s="39"/>
      <c r="BN292" s="39"/>
      <c r="BO292" s="39"/>
      <c r="BP292" s="39"/>
      <c r="BQ292" s="39"/>
      <c r="BR292" s="39"/>
      <c r="BS292" s="39"/>
      <c r="BT292" s="39"/>
      <c r="BU292" s="39"/>
      <c r="BV292" s="39"/>
      <c r="BW292" s="39"/>
      <c r="BX292" s="39"/>
      <c r="BY292" s="39"/>
      <c r="BZ292" s="39"/>
      <c r="CA292" s="39"/>
      <c r="CB292" s="39"/>
      <c r="CC292" s="39"/>
      <c r="CD292" s="39"/>
      <c r="CE292" s="39"/>
      <c r="CF292" s="39"/>
      <c r="CG292" s="39"/>
      <c r="CH292" s="39"/>
      <c r="CI292" s="39"/>
      <c r="CJ292" s="39"/>
      <c r="CK292" s="39"/>
      <c r="CL292" s="39"/>
      <c r="CM292" s="39"/>
      <c r="CN292" s="39"/>
      <c r="CO292" s="39"/>
      <c r="CP292" s="39"/>
      <c r="CQ292" s="39"/>
      <c r="CR292" s="39"/>
      <c r="CS292" s="39"/>
      <c r="CT292" s="39"/>
      <c r="CU292" s="39"/>
      <c r="CV292" s="39"/>
      <c r="CW292" s="39"/>
      <c r="CX292" s="39"/>
    </row>
    <row r="293" spans="1:102" ht="30.75" customHeight="1" x14ac:dyDescent="0.25">
      <c r="A293" s="25"/>
      <c r="B293" s="701" t="s">
        <v>72</v>
      </c>
      <c r="C293" s="207" t="s">
        <v>56</v>
      </c>
      <c r="D293" s="207">
        <v>1</v>
      </c>
      <c r="E293" s="262">
        <v>1</v>
      </c>
      <c r="F293" s="589">
        <f t="shared" si="1"/>
        <v>100</v>
      </c>
      <c r="G293" s="235"/>
      <c r="H293" s="726" t="s">
        <v>1171</v>
      </c>
      <c r="I293" s="39"/>
      <c r="J293" s="39"/>
      <c r="K293" s="138"/>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39"/>
      <c r="AZ293" s="39"/>
      <c r="BA293" s="39"/>
      <c r="BB293" s="39"/>
      <c r="BC293" s="39"/>
      <c r="BD293" s="39"/>
      <c r="BE293" s="39"/>
      <c r="BF293" s="39"/>
      <c r="BG293" s="39"/>
      <c r="BH293" s="39"/>
      <c r="BI293" s="39"/>
      <c r="BJ293" s="39"/>
      <c r="BK293" s="39"/>
      <c r="BL293" s="39"/>
      <c r="BM293" s="39"/>
      <c r="BN293" s="39"/>
      <c r="BO293" s="39"/>
      <c r="BP293" s="39"/>
      <c r="BQ293" s="39"/>
      <c r="BR293" s="39"/>
      <c r="BS293" s="39"/>
      <c r="BT293" s="39"/>
      <c r="BU293" s="39"/>
      <c r="BV293" s="39"/>
      <c r="BW293" s="39"/>
      <c r="BX293" s="39"/>
      <c r="BY293" s="39"/>
      <c r="BZ293" s="39"/>
      <c r="CA293" s="39"/>
      <c r="CB293" s="39"/>
      <c r="CC293" s="39"/>
      <c r="CD293" s="39"/>
      <c r="CE293" s="39"/>
      <c r="CF293" s="39"/>
      <c r="CG293" s="39"/>
      <c r="CH293" s="39"/>
      <c r="CI293" s="39"/>
      <c r="CJ293" s="39"/>
      <c r="CK293" s="39"/>
      <c r="CL293" s="39"/>
      <c r="CM293" s="39"/>
      <c r="CN293" s="39"/>
      <c r="CO293" s="39"/>
      <c r="CP293" s="39"/>
      <c r="CQ293" s="39"/>
      <c r="CR293" s="39"/>
      <c r="CS293" s="39"/>
      <c r="CT293" s="39"/>
      <c r="CU293" s="39"/>
      <c r="CV293" s="39"/>
      <c r="CW293" s="39"/>
      <c r="CX293" s="39"/>
    </row>
    <row r="294" spans="1:102" ht="34.5" customHeight="1" x14ac:dyDescent="0.25">
      <c r="A294" s="25"/>
      <c r="B294" s="701" t="s">
        <v>74</v>
      </c>
      <c r="C294" s="207" t="s">
        <v>69</v>
      </c>
      <c r="D294" s="207">
        <v>3</v>
      </c>
      <c r="E294" s="263">
        <v>3</v>
      </c>
      <c r="F294" s="589">
        <f t="shared" si="1"/>
        <v>100</v>
      </c>
      <c r="G294" s="235"/>
      <c r="H294" s="727" t="s">
        <v>1172</v>
      </c>
      <c r="I294" s="39"/>
      <c r="J294" s="39"/>
      <c r="K294" s="138"/>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c r="AI294" s="39"/>
      <c r="AJ294" s="39"/>
      <c r="AK294" s="39"/>
      <c r="AL294" s="39"/>
      <c r="AM294" s="39"/>
      <c r="AN294" s="39"/>
      <c r="AO294" s="39"/>
      <c r="AP294" s="39"/>
      <c r="AQ294" s="39"/>
      <c r="AR294" s="39"/>
      <c r="AS294" s="39"/>
      <c r="AT294" s="39"/>
      <c r="AU294" s="39"/>
      <c r="AV294" s="39"/>
      <c r="AW294" s="39"/>
      <c r="AX294" s="39"/>
      <c r="AY294" s="39"/>
      <c r="AZ294" s="39"/>
      <c r="BA294" s="39"/>
      <c r="BB294" s="39"/>
      <c r="BC294" s="39"/>
      <c r="BD294" s="39"/>
      <c r="BE294" s="39"/>
      <c r="BF294" s="39"/>
      <c r="BG294" s="39"/>
      <c r="BH294" s="39"/>
      <c r="BI294" s="39"/>
      <c r="BJ294" s="39"/>
      <c r="BK294" s="39"/>
      <c r="BL294" s="39"/>
      <c r="BM294" s="39"/>
      <c r="BN294" s="39"/>
      <c r="BO294" s="39"/>
      <c r="BP294" s="39"/>
      <c r="BQ294" s="39"/>
      <c r="BR294" s="39"/>
      <c r="BS294" s="39"/>
      <c r="BT294" s="39"/>
      <c r="BU294" s="39"/>
      <c r="BV294" s="39"/>
      <c r="BW294" s="39"/>
      <c r="BX294" s="39"/>
      <c r="BY294" s="39"/>
      <c r="BZ294" s="39"/>
      <c r="CA294" s="39"/>
      <c r="CB294" s="39"/>
      <c r="CC294" s="39"/>
      <c r="CD294" s="39"/>
      <c r="CE294" s="39"/>
      <c r="CF294" s="39"/>
      <c r="CG294" s="39"/>
      <c r="CH294" s="39"/>
      <c r="CI294" s="39"/>
      <c r="CJ294" s="39"/>
      <c r="CK294" s="39"/>
      <c r="CL294" s="39"/>
      <c r="CM294" s="39"/>
      <c r="CN294" s="39"/>
      <c r="CO294" s="39"/>
      <c r="CP294" s="39"/>
      <c r="CQ294" s="39"/>
      <c r="CR294" s="39"/>
      <c r="CS294" s="39"/>
      <c r="CT294" s="39"/>
      <c r="CU294" s="39"/>
      <c r="CV294" s="39"/>
      <c r="CW294" s="39"/>
      <c r="CX294" s="39"/>
    </row>
    <row r="295" spans="1:102" ht="36" customHeight="1" x14ac:dyDescent="0.25">
      <c r="A295" s="25"/>
      <c r="B295" s="701" t="s">
        <v>75</v>
      </c>
      <c r="C295" s="207" t="s">
        <v>39</v>
      </c>
      <c r="D295" s="206">
        <v>8.6</v>
      </c>
      <c r="E295" s="264">
        <v>8.6</v>
      </c>
      <c r="F295" s="589">
        <f t="shared" si="1"/>
        <v>100</v>
      </c>
      <c r="G295" s="235"/>
      <c r="H295" s="727" t="s">
        <v>1172</v>
      </c>
      <c r="I295" s="39"/>
      <c r="J295" s="39"/>
      <c r="K295" s="138"/>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c r="AQ295" s="39"/>
      <c r="AR295" s="39"/>
      <c r="AS295" s="39"/>
      <c r="AT295" s="39"/>
      <c r="AU295" s="39"/>
      <c r="AV295" s="39"/>
      <c r="AW295" s="39"/>
      <c r="AX295" s="39"/>
      <c r="AY295" s="39"/>
      <c r="AZ295" s="39"/>
      <c r="BA295" s="39"/>
      <c r="BB295" s="39"/>
      <c r="BC295" s="39"/>
      <c r="BD295" s="39"/>
      <c r="BE295" s="39"/>
      <c r="BF295" s="39"/>
      <c r="BG295" s="39"/>
      <c r="BH295" s="39"/>
      <c r="BI295" s="39"/>
      <c r="BJ295" s="39"/>
      <c r="BK295" s="39"/>
      <c r="BL295" s="39"/>
      <c r="BM295" s="39"/>
      <c r="BN295" s="39"/>
      <c r="BO295" s="39"/>
      <c r="BP295" s="39"/>
      <c r="BQ295" s="39"/>
      <c r="BR295" s="39"/>
      <c r="BS295" s="39"/>
      <c r="BT295" s="39"/>
      <c r="BU295" s="39"/>
      <c r="BV295" s="39"/>
      <c r="BW295" s="39"/>
      <c r="BX295" s="39"/>
      <c r="BY295" s="39"/>
      <c r="BZ295" s="39"/>
      <c r="CA295" s="39"/>
      <c r="CB295" s="39"/>
      <c r="CC295" s="39"/>
      <c r="CD295" s="39"/>
      <c r="CE295" s="39"/>
      <c r="CF295" s="39"/>
      <c r="CG295" s="39"/>
      <c r="CH295" s="39"/>
      <c r="CI295" s="39"/>
      <c r="CJ295" s="39"/>
      <c r="CK295" s="39"/>
      <c r="CL295" s="39"/>
      <c r="CM295" s="39"/>
      <c r="CN295" s="39"/>
      <c r="CO295" s="39"/>
      <c r="CP295" s="39"/>
      <c r="CQ295" s="39"/>
      <c r="CR295" s="39"/>
      <c r="CS295" s="39"/>
      <c r="CT295" s="39"/>
      <c r="CU295" s="39"/>
      <c r="CV295" s="39"/>
      <c r="CW295" s="39"/>
      <c r="CX295" s="39"/>
    </row>
    <row r="296" spans="1:102" ht="33" customHeight="1" x14ac:dyDescent="0.25">
      <c r="A296" s="25"/>
      <c r="B296" s="701" t="s">
        <v>76</v>
      </c>
      <c r="C296" s="207" t="s">
        <v>69</v>
      </c>
      <c r="D296" s="207">
        <v>16589</v>
      </c>
      <c r="E296" s="263">
        <v>14960</v>
      </c>
      <c r="F296" s="589">
        <f t="shared" si="1"/>
        <v>90.180239918017975</v>
      </c>
      <c r="G296" s="235"/>
      <c r="H296" s="726" t="s">
        <v>1171</v>
      </c>
      <c r="I296" s="39"/>
      <c r="J296" s="39"/>
      <c r="K296" s="39"/>
      <c r="L296" s="39"/>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c r="AQ296" s="39"/>
      <c r="AR296" s="39"/>
      <c r="AS296" s="39"/>
      <c r="AT296" s="39"/>
      <c r="AU296" s="39"/>
      <c r="AV296" s="39"/>
      <c r="AW296" s="39"/>
      <c r="AX296" s="39"/>
      <c r="AY296" s="39"/>
      <c r="AZ296" s="39"/>
      <c r="BA296" s="39"/>
      <c r="BB296" s="39"/>
      <c r="BC296" s="39"/>
      <c r="BD296" s="39"/>
      <c r="BE296" s="39"/>
      <c r="BF296" s="39"/>
      <c r="BG296" s="39"/>
      <c r="BH296" s="39"/>
      <c r="BI296" s="39"/>
      <c r="BJ296" s="39"/>
      <c r="BK296" s="39"/>
      <c r="BL296" s="39"/>
      <c r="BM296" s="39"/>
      <c r="BN296" s="39"/>
      <c r="BO296" s="39"/>
      <c r="BP296" s="39"/>
      <c r="BQ296" s="39"/>
      <c r="BR296" s="39"/>
      <c r="BS296" s="39"/>
      <c r="BT296" s="39"/>
      <c r="BU296" s="39"/>
      <c r="BV296" s="39"/>
      <c r="BW296" s="39"/>
      <c r="BX296" s="39"/>
      <c r="BY296" s="39"/>
      <c r="BZ296" s="39"/>
      <c r="CA296" s="39"/>
      <c r="CB296" s="39"/>
      <c r="CC296" s="39"/>
      <c r="CD296" s="39"/>
      <c r="CE296" s="39"/>
      <c r="CF296" s="39"/>
      <c r="CG296" s="39"/>
      <c r="CH296" s="39"/>
      <c r="CI296" s="39"/>
      <c r="CJ296" s="39"/>
      <c r="CK296" s="39"/>
      <c r="CL296" s="39"/>
      <c r="CM296" s="39"/>
      <c r="CN296" s="39"/>
      <c r="CO296" s="39"/>
      <c r="CP296" s="39"/>
      <c r="CQ296" s="39"/>
      <c r="CR296" s="39"/>
      <c r="CS296" s="39"/>
      <c r="CT296" s="39"/>
      <c r="CU296" s="39"/>
      <c r="CV296" s="39"/>
      <c r="CW296" s="39"/>
      <c r="CX296" s="39"/>
    </row>
    <row r="297" spans="1:102" x14ac:dyDescent="0.25">
      <c r="A297" s="25"/>
      <c r="B297" s="795" t="s">
        <v>77</v>
      </c>
      <c r="C297" s="795"/>
      <c r="D297" s="795"/>
      <c r="E297" s="795"/>
      <c r="F297" s="795"/>
      <c r="G297" s="235"/>
      <c r="I297" s="39"/>
      <c r="J297" s="39"/>
      <c r="K297" s="39"/>
      <c r="L297" s="39"/>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c r="AP297" s="39"/>
      <c r="AQ297" s="39"/>
      <c r="AR297" s="39"/>
      <c r="AS297" s="39"/>
      <c r="AT297" s="39"/>
      <c r="AU297" s="39"/>
      <c r="AV297" s="39"/>
      <c r="AW297" s="39"/>
      <c r="AX297" s="39"/>
      <c r="AY297" s="39"/>
      <c r="AZ297" s="39"/>
      <c r="BA297" s="39"/>
      <c r="BB297" s="39"/>
      <c r="BC297" s="39"/>
      <c r="BD297" s="39"/>
      <c r="BE297" s="39"/>
      <c r="BF297" s="39"/>
      <c r="BG297" s="39"/>
      <c r="BH297" s="39"/>
      <c r="BI297" s="39"/>
      <c r="BJ297" s="39"/>
      <c r="BK297" s="39"/>
      <c r="BL297" s="39"/>
      <c r="BM297" s="39"/>
      <c r="BN297" s="39"/>
      <c r="BO297" s="39"/>
      <c r="BP297" s="39"/>
      <c r="BQ297" s="39"/>
      <c r="BR297" s="39"/>
      <c r="BS297" s="39"/>
      <c r="BT297" s="39"/>
      <c r="BU297" s="39"/>
      <c r="BV297" s="39"/>
      <c r="BW297" s="39"/>
      <c r="BX297" s="39"/>
      <c r="BY297" s="39"/>
      <c r="BZ297" s="39"/>
      <c r="CA297" s="39"/>
      <c r="CB297" s="39"/>
      <c r="CC297" s="39"/>
      <c r="CD297" s="39"/>
      <c r="CE297" s="39"/>
      <c r="CF297" s="39"/>
      <c r="CG297" s="39"/>
      <c r="CH297" s="39"/>
      <c r="CI297" s="39"/>
      <c r="CJ297" s="39"/>
      <c r="CK297" s="39"/>
      <c r="CL297" s="39"/>
      <c r="CM297" s="39"/>
      <c r="CN297" s="39"/>
      <c r="CO297" s="39"/>
      <c r="CP297" s="39"/>
      <c r="CQ297" s="39"/>
      <c r="CR297" s="39"/>
      <c r="CS297" s="39"/>
      <c r="CT297" s="39"/>
      <c r="CU297" s="39"/>
      <c r="CV297" s="39"/>
      <c r="CW297" s="39"/>
      <c r="CX297" s="39"/>
    </row>
    <row r="298" spans="1:102" ht="30" customHeight="1" x14ac:dyDescent="0.25">
      <c r="A298" s="25"/>
      <c r="B298" s="719" t="s">
        <v>78</v>
      </c>
      <c r="C298" s="207"/>
      <c r="D298" s="207"/>
      <c r="E298" s="203"/>
      <c r="F298" s="589"/>
      <c r="G298" s="235"/>
      <c r="H298" s="229"/>
      <c r="I298" s="39"/>
      <c r="J298" s="39"/>
      <c r="K298" s="39"/>
      <c r="L298" s="39"/>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c r="AQ298" s="39"/>
      <c r="AR298" s="39"/>
      <c r="AS298" s="39"/>
      <c r="AT298" s="39"/>
      <c r="AU298" s="39"/>
      <c r="AV298" s="39"/>
      <c r="AW298" s="39"/>
      <c r="AX298" s="39"/>
      <c r="AY298" s="39"/>
      <c r="AZ298" s="39"/>
      <c r="BA298" s="39"/>
      <c r="BB298" s="39"/>
      <c r="BC298" s="39"/>
      <c r="BD298" s="39"/>
      <c r="BE298" s="39"/>
      <c r="BF298" s="39"/>
      <c r="BG298" s="39"/>
      <c r="BH298" s="39"/>
      <c r="BI298" s="39"/>
      <c r="BJ298" s="39"/>
      <c r="BK298" s="39"/>
      <c r="BL298" s="39"/>
      <c r="BM298" s="39"/>
      <c r="BN298" s="39"/>
      <c r="BO298" s="39"/>
      <c r="BP298" s="39"/>
      <c r="BQ298" s="39"/>
      <c r="BR298" s="39"/>
      <c r="BS298" s="39"/>
      <c r="BT298" s="39"/>
      <c r="BU298" s="39"/>
      <c r="BV298" s="39"/>
      <c r="BW298" s="39"/>
      <c r="BX298" s="39"/>
      <c r="BY298" s="39"/>
      <c r="BZ298" s="39"/>
      <c r="CA298" s="39"/>
      <c r="CB298" s="39"/>
      <c r="CC298" s="39"/>
      <c r="CD298" s="39"/>
      <c r="CE298" s="39"/>
      <c r="CF298" s="39"/>
      <c r="CG298" s="39"/>
      <c r="CH298" s="39"/>
      <c r="CI298" s="39"/>
      <c r="CJ298" s="39"/>
      <c r="CK298" s="39"/>
      <c r="CL298" s="39"/>
      <c r="CM298" s="39"/>
      <c r="CN298" s="39"/>
      <c r="CO298" s="39"/>
      <c r="CP298" s="39"/>
      <c r="CQ298" s="39"/>
      <c r="CR298" s="39"/>
      <c r="CS298" s="39"/>
      <c r="CT298" s="39"/>
      <c r="CU298" s="39"/>
      <c r="CV298" s="39"/>
      <c r="CW298" s="39"/>
      <c r="CX298" s="39"/>
    </row>
    <row r="299" spans="1:102" ht="34.5" customHeight="1" x14ac:dyDescent="0.25">
      <c r="A299" s="25"/>
      <c r="B299" s="665" t="s">
        <v>79</v>
      </c>
      <c r="C299" s="207" t="s">
        <v>39</v>
      </c>
      <c r="D299" s="206">
        <v>45.9</v>
      </c>
      <c r="E299" s="206">
        <v>45.9</v>
      </c>
      <c r="F299" s="589">
        <f>SUM(E299/D299*100)</f>
        <v>100</v>
      </c>
      <c r="G299" s="235"/>
      <c r="H299" s="230"/>
      <c r="I299" s="39"/>
      <c r="J299" s="39"/>
      <c r="K299" s="138"/>
      <c r="L299" s="39"/>
      <c r="M299" s="39"/>
      <c r="N299" s="39"/>
      <c r="O299" s="39"/>
      <c r="P299" s="39"/>
      <c r="Q299" s="39"/>
      <c r="R299" s="39"/>
      <c r="S299" s="39"/>
      <c r="T299" s="39"/>
      <c r="U299" s="39"/>
      <c r="V299" s="39"/>
      <c r="W299" s="39"/>
      <c r="X299" s="39"/>
      <c r="Y299" s="39"/>
      <c r="Z299" s="39"/>
      <c r="AA299" s="39"/>
      <c r="AB299" s="39"/>
      <c r="AC299" s="39"/>
      <c r="AD299" s="39"/>
      <c r="AE299" s="39"/>
      <c r="AF299" s="39"/>
      <c r="AG299" s="39"/>
      <c r="AH299" s="39"/>
      <c r="AI299" s="39"/>
      <c r="AJ299" s="39"/>
      <c r="AK299" s="39"/>
      <c r="AL299" s="39"/>
      <c r="AM299" s="39"/>
      <c r="AN299" s="39"/>
      <c r="AO299" s="39"/>
      <c r="AP299" s="39"/>
      <c r="AQ299" s="39"/>
      <c r="AR299" s="39"/>
      <c r="AS299" s="39"/>
      <c r="AT299" s="39"/>
      <c r="AU299" s="39"/>
      <c r="AV299" s="39"/>
      <c r="AW299" s="39"/>
      <c r="AX299" s="39"/>
      <c r="AY299" s="39"/>
      <c r="AZ299" s="39"/>
      <c r="BA299" s="39"/>
      <c r="BB299" s="39"/>
      <c r="BC299" s="39"/>
      <c r="BD299" s="39"/>
      <c r="BE299" s="39"/>
      <c r="BF299" s="39"/>
      <c r="BG299" s="39"/>
      <c r="BH299" s="39"/>
      <c r="BI299" s="39"/>
      <c r="BJ299" s="39"/>
      <c r="BK299" s="39"/>
      <c r="BL299" s="39"/>
      <c r="BM299" s="39"/>
      <c r="BN299" s="39"/>
      <c r="BO299" s="39"/>
      <c r="BP299" s="39"/>
      <c r="BQ299" s="39"/>
      <c r="BR299" s="39"/>
      <c r="BS299" s="39"/>
      <c r="BT299" s="39"/>
      <c r="BU299" s="39"/>
      <c r="BV299" s="39"/>
      <c r="BW299" s="39"/>
      <c r="BX299" s="39"/>
      <c r="BY299" s="39"/>
      <c r="BZ299" s="39"/>
      <c r="CA299" s="39"/>
      <c r="CB299" s="39"/>
      <c r="CC299" s="39"/>
      <c r="CD299" s="39"/>
      <c r="CE299" s="39"/>
      <c r="CF299" s="39"/>
      <c r="CG299" s="39"/>
      <c r="CH299" s="39"/>
      <c r="CI299" s="39"/>
      <c r="CJ299" s="39"/>
      <c r="CK299" s="39"/>
      <c r="CL299" s="39"/>
      <c r="CM299" s="39"/>
      <c r="CN299" s="39"/>
      <c r="CO299" s="39"/>
      <c r="CP299" s="39"/>
      <c r="CQ299" s="39"/>
      <c r="CR299" s="39"/>
      <c r="CS299" s="39"/>
      <c r="CT299" s="39"/>
      <c r="CU299" s="39"/>
      <c r="CV299" s="39"/>
      <c r="CW299" s="39"/>
      <c r="CX299" s="39"/>
    </row>
    <row r="300" spans="1:102" ht="37.5" customHeight="1" x14ac:dyDescent="0.25">
      <c r="A300" s="25"/>
      <c r="B300" s="665" t="s">
        <v>80</v>
      </c>
      <c r="C300" s="207" t="s">
        <v>39</v>
      </c>
      <c r="D300" s="206">
        <v>2.6</v>
      </c>
      <c r="E300" s="206">
        <f>1/39*100</f>
        <v>2.5641025641025639</v>
      </c>
      <c r="F300" s="589">
        <f>SUM(E300/D300*100)</f>
        <v>98.619329388560146</v>
      </c>
      <c r="G300" s="235"/>
      <c r="H300" s="631" t="s">
        <v>1053</v>
      </c>
      <c r="I300" s="39"/>
      <c r="J300" s="39"/>
      <c r="K300" s="39"/>
      <c r="L300" s="39"/>
      <c r="M300" s="39"/>
      <c r="N300" s="39"/>
      <c r="O300" s="39"/>
      <c r="P300" s="39"/>
      <c r="Q300" s="39"/>
      <c r="R300" s="39"/>
      <c r="S300" s="39"/>
      <c r="T300" s="39"/>
      <c r="U300" s="39"/>
      <c r="V300" s="39"/>
      <c r="W300" s="39"/>
      <c r="X300" s="39"/>
      <c r="Y300" s="39"/>
      <c r="Z300" s="39"/>
      <c r="AA300" s="39"/>
      <c r="AB300" s="39"/>
      <c r="AC300" s="39"/>
      <c r="AD300" s="39"/>
      <c r="AE300" s="39"/>
      <c r="AF300" s="39"/>
      <c r="AG300" s="39"/>
      <c r="AH300" s="39"/>
      <c r="AI300" s="39"/>
      <c r="AJ300" s="39"/>
      <c r="AK300" s="39"/>
      <c r="AL300" s="39"/>
      <c r="AM300" s="39"/>
      <c r="AN300" s="39"/>
      <c r="AO300" s="39"/>
      <c r="AP300" s="39"/>
      <c r="AQ300" s="39"/>
      <c r="AR300" s="39"/>
      <c r="AS300" s="39"/>
      <c r="AT300" s="39"/>
      <c r="AU300" s="39"/>
      <c r="AV300" s="39"/>
      <c r="AW300" s="39"/>
      <c r="AX300" s="39"/>
      <c r="AY300" s="39"/>
      <c r="AZ300" s="39"/>
      <c r="BA300" s="39"/>
      <c r="BB300" s="39"/>
      <c r="BC300" s="39"/>
      <c r="BD300" s="39"/>
      <c r="BE300" s="39"/>
      <c r="BF300" s="39"/>
      <c r="BG300" s="39"/>
      <c r="BH300" s="39"/>
      <c r="BI300" s="39"/>
      <c r="BJ300" s="39"/>
      <c r="BK300" s="39"/>
      <c r="BL300" s="39"/>
      <c r="BM300" s="39"/>
      <c r="BN300" s="39"/>
      <c r="BO300" s="39"/>
      <c r="BP300" s="39"/>
      <c r="BQ300" s="39"/>
      <c r="BR300" s="39"/>
      <c r="BS300" s="39"/>
      <c r="BT300" s="39"/>
      <c r="BU300" s="39"/>
      <c r="BV300" s="39"/>
      <c r="BW300" s="39"/>
      <c r="BX300" s="39"/>
      <c r="BY300" s="39"/>
      <c r="BZ300" s="39"/>
      <c r="CA300" s="39"/>
      <c r="CB300" s="39"/>
      <c r="CC300" s="39"/>
      <c r="CD300" s="39"/>
      <c r="CE300" s="39"/>
      <c r="CF300" s="39"/>
      <c r="CG300" s="39"/>
      <c r="CH300" s="39"/>
      <c r="CI300" s="39"/>
      <c r="CJ300" s="39"/>
      <c r="CK300" s="39"/>
      <c r="CL300" s="39"/>
      <c r="CM300" s="39"/>
      <c r="CN300" s="39"/>
      <c r="CO300" s="39"/>
      <c r="CP300" s="39"/>
      <c r="CQ300" s="39"/>
      <c r="CR300" s="39"/>
      <c r="CS300" s="39"/>
      <c r="CT300" s="39"/>
      <c r="CU300" s="39"/>
      <c r="CV300" s="39"/>
      <c r="CW300" s="39"/>
      <c r="CX300" s="39"/>
    </row>
    <row r="301" spans="1:102" ht="36.75" customHeight="1" x14ac:dyDescent="0.25">
      <c r="A301" s="25"/>
      <c r="B301" s="701" t="s">
        <v>81</v>
      </c>
      <c r="C301" s="207" t="s">
        <v>39</v>
      </c>
      <c r="D301" s="206">
        <v>53.8</v>
      </c>
      <c r="E301" s="206">
        <v>53.8</v>
      </c>
      <c r="F301" s="589">
        <f>SUM(E301/D301*100)</f>
        <v>100</v>
      </c>
      <c r="G301" s="235"/>
      <c r="H301" s="631" t="s">
        <v>1054</v>
      </c>
      <c r="I301" s="39"/>
      <c r="J301" s="39"/>
      <c r="K301" s="138"/>
      <c r="L301" s="39"/>
      <c r="M301" s="39"/>
      <c r="N301" s="39"/>
      <c r="O301" s="39"/>
      <c r="P301" s="39"/>
      <c r="Q301" s="39"/>
      <c r="R301" s="39"/>
      <c r="S301" s="39"/>
      <c r="T301" s="39"/>
      <c r="U301" s="39"/>
      <c r="V301" s="39"/>
      <c r="W301" s="39"/>
      <c r="X301" s="39"/>
      <c r="Y301" s="39"/>
      <c r="Z301" s="39"/>
      <c r="AA301" s="39"/>
      <c r="AB301" s="39"/>
      <c r="AC301" s="39"/>
      <c r="AD301" s="39"/>
      <c r="AE301" s="39"/>
      <c r="AF301" s="39"/>
      <c r="AG301" s="39"/>
      <c r="AH301" s="39"/>
      <c r="AI301" s="39"/>
      <c r="AJ301" s="39"/>
      <c r="AK301" s="39"/>
      <c r="AL301" s="39"/>
      <c r="AM301" s="39"/>
      <c r="AN301" s="39"/>
      <c r="AO301" s="39"/>
      <c r="AP301" s="39"/>
      <c r="AQ301" s="39"/>
      <c r="AR301" s="39"/>
      <c r="AS301" s="39"/>
      <c r="AT301" s="39"/>
      <c r="AU301" s="39"/>
      <c r="AV301" s="39"/>
      <c r="AW301" s="39"/>
      <c r="AX301" s="39"/>
      <c r="AY301" s="39"/>
      <c r="AZ301" s="39"/>
      <c r="BA301" s="39"/>
      <c r="BB301" s="39"/>
      <c r="BC301" s="39"/>
      <c r="BD301" s="39"/>
      <c r="BE301" s="39"/>
      <c r="BF301" s="39"/>
      <c r="BG301" s="39"/>
      <c r="BH301" s="39"/>
      <c r="BI301" s="39"/>
      <c r="BJ301" s="39"/>
      <c r="BK301" s="39"/>
      <c r="BL301" s="39"/>
      <c r="BM301" s="39"/>
      <c r="BN301" s="39"/>
      <c r="BO301" s="39"/>
      <c r="BP301" s="39"/>
      <c r="BQ301" s="39"/>
      <c r="BR301" s="39"/>
      <c r="BS301" s="39"/>
      <c r="BT301" s="39"/>
      <c r="BU301" s="39"/>
      <c r="BV301" s="39"/>
      <c r="BW301" s="39"/>
      <c r="BX301" s="39"/>
      <c r="BY301" s="39"/>
      <c r="BZ301" s="39"/>
      <c r="CA301" s="39"/>
      <c r="CB301" s="39"/>
      <c r="CC301" s="39"/>
      <c r="CD301" s="39"/>
      <c r="CE301" s="39"/>
      <c r="CF301" s="39"/>
      <c r="CG301" s="39"/>
      <c r="CH301" s="39"/>
      <c r="CI301" s="39"/>
      <c r="CJ301" s="39"/>
      <c r="CK301" s="39"/>
      <c r="CL301" s="39"/>
      <c r="CM301" s="39"/>
      <c r="CN301" s="39"/>
      <c r="CO301" s="39"/>
      <c r="CP301" s="39"/>
      <c r="CQ301" s="39"/>
      <c r="CR301" s="39"/>
      <c r="CS301" s="39"/>
      <c r="CT301" s="39"/>
      <c r="CU301" s="39"/>
      <c r="CV301" s="39"/>
      <c r="CW301" s="39"/>
      <c r="CX301" s="39"/>
    </row>
    <row r="302" spans="1:102" ht="78.75" x14ac:dyDescent="0.25">
      <c r="A302" s="25"/>
      <c r="B302" s="701" t="s">
        <v>82</v>
      </c>
      <c r="C302" s="207" t="s">
        <v>39</v>
      </c>
      <c r="D302" s="206">
        <v>2.6</v>
      </c>
      <c r="E302" s="206">
        <v>2.6</v>
      </c>
      <c r="F302" s="589">
        <f>SUM(E302/D302*100)</f>
        <v>100</v>
      </c>
      <c r="G302" s="235"/>
      <c r="H302" s="631" t="s">
        <v>1053</v>
      </c>
      <c r="I302" s="39"/>
      <c r="J302" s="39"/>
      <c r="K302" s="138"/>
      <c r="L302" s="39"/>
      <c r="M302" s="39"/>
      <c r="N302" s="39"/>
      <c r="O302" s="39"/>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c r="AQ302" s="39"/>
      <c r="AR302" s="39"/>
      <c r="AS302" s="39"/>
      <c r="AT302" s="39"/>
      <c r="AU302" s="39"/>
      <c r="AV302" s="39"/>
      <c r="AW302" s="39"/>
      <c r="AX302" s="39"/>
      <c r="AY302" s="39"/>
      <c r="AZ302" s="39"/>
      <c r="BA302" s="39"/>
      <c r="BB302" s="39"/>
      <c r="BC302" s="39"/>
      <c r="BD302" s="39"/>
      <c r="BE302" s="39"/>
      <c r="BF302" s="39"/>
      <c r="BG302" s="39"/>
      <c r="BH302" s="39"/>
      <c r="BI302" s="39"/>
      <c r="BJ302" s="39"/>
      <c r="BK302" s="39"/>
      <c r="BL302" s="39"/>
      <c r="BM302" s="39"/>
      <c r="BN302" s="39"/>
      <c r="BO302" s="39"/>
      <c r="BP302" s="39"/>
      <c r="BQ302" s="39"/>
      <c r="BR302" s="39"/>
      <c r="BS302" s="39"/>
      <c r="BT302" s="39"/>
      <c r="BU302" s="39"/>
      <c r="BV302" s="39"/>
      <c r="BW302" s="39"/>
      <c r="BX302" s="39"/>
      <c r="BY302" s="39"/>
      <c r="BZ302" s="39"/>
      <c r="CA302" s="39"/>
      <c r="CB302" s="39"/>
      <c r="CC302" s="39"/>
      <c r="CD302" s="39"/>
      <c r="CE302" s="39"/>
      <c r="CF302" s="39"/>
      <c r="CG302" s="39"/>
      <c r="CH302" s="39"/>
      <c r="CI302" s="39"/>
      <c r="CJ302" s="39"/>
      <c r="CK302" s="39"/>
      <c r="CL302" s="39"/>
      <c r="CM302" s="39"/>
      <c r="CN302" s="39"/>
      <c r="CO302" s="39"/>
      <c r="CP302" s="39"/>
      <c r="CQ302" s="39"/>
      <c r="CR302" s="39"/>
      <c r="CS302" s="39"/>
      <c r="CT302" s="39"/>
      <c r="CU302" s="39"/>
      <c r="CV302" s="39"/>
      <c r="CW302" s="39"/>
      <c r="CX302" s="39"/>
    </row>
    <row r="303" spans="1:102" ht="33.75" customHeight="1" x14ac:dyDescent="0.25">
      <c r="A303" s="25"/>
      <c r="B303" s="719" t="s">
        <v>318</v>
      </c>
      <c r="C303" s="207"/>
      <c r="D303" s="207"/>
      <c r="E303" s="263"/>
      <c r="F303" s="589"/>
      <c r="G303" s="235"/>
      <c r="H303" s="229"/>
      <c r="I303" s="39"/>
      <c r="J303" s="39"/>
      <c r="K303" s="39"/>
      <c r="L303" s="39"/>
      <c r="M303" s="39"/>
      <c r="N303" s="39"/>
      <c r="O303" s="39"/>
      <c r="P303" s="39"/>
      <c r="Q303" s="39"/>
      <c r="R303" s="39"/>
      <c r="S303" s="39"/>
      <c r="T303" s="39"/>
      <c r="U303" s="39"/>
      <c r="V303" s="39"/>
      <c r="W303" s="39"/>
      <c r="X303" s="39"/>
      <c r="Y303" s="39"/>
      <c r="Z303" s="39"/>
      <c r="AA303" s="39"/>
      <c r="AB303" s="39"/>
      <c r="AC303" s="39"/>
      <c r="AD303" s="39"/>
      <c r="AE303" s="39"/>
      <c r="AF303" s="39"/>
      <c r="AG303" s="39"/>
      <c r="AH303" s="39"/>
      <c r="AI303" s="39"/>
      <c r="AJ303" s="39"/>
      <c r="AK303" s="39"/>
      <c r="AL303" s="39"/>
      <c r="AM303" s="39"/>
      <c r="AN303" s="39"/>
      <c r="AO303" s="39"/>
      <c r="AP303" s="39"/>
      <c r="AQ303" s="39"/>
      <c r="AR303" s="39"/>
      <c r="AS303" s="39"/>
      <c r="AT303" s="39"/>
      <c r="AU303" s="39"/>
      <c r="AV303" s="39"/>
      <c r="AW303" s="39"/>
      <c r="AX303" s="39"/>
      <c r="AY303" s="39"/>
      <c r="AZ303" s="39"/>
      <c r="BA303" s="39"/>
      <c r="BB303" s="39"/>
      <c r="BC303" s="39"/>
      <c r="BD303" s="39"/>
      <c r="BE303" s="39"/>
      <c r="BF303" s="39"/>
      <c r="BG303" s="39"/>
      <c r="BH303" s="39"/>
      <c r="BI303" s="39"/>
      <c r="BJ303" s="39"/>
      <c r="BK303" s="39"/>
      <c r="BL303" s="39"/>
      <c r="BM303" s="39"/>
      <c r="BN303" s="39"/>
      <c r="BO303" s="39"/>
      <c r="BP303" s="39"/>
      <c r="BQ303" s="39"/>
      <c r="BR303" s="39"/>
      <c r="BS303" s="39"/>
      <c r="BT303" s="39"/>
      <c r="BU303" s="39"/>
      <c r="BV303" s="39"/>
      <c r="BW303" s="39"/>
      <c r="BX303" s="39"/>
      <c r="BY303" s="39"/>
      <c r="BZ303" s="39"/>
      <c r="CA303" s="39"/>
      <c r="CB303" s="39"/>
      <c r="CC303" s="39"/>
      <c r="CD303" s="39"/>
      <c r="CE303" s="39"/>
      <c r="CF303" s="39"/>
      <c r="CG303" s="39"/>
      <c r="CH303" s="39"/>
      <c r="CI303" s="39"/>
      <c r="CJ303" s="39"/>
      <c r="CK303" s="39"/>
      <c r="CL303" s="39"/>
      <c r="CM303" s="39"/>
      <c r="CN303" s="39"/>
      <c r="CO303" s="39"/>
      <c r="CP303" s="39"/>
      <c r="CQ303" s="39"/>
      <c r="CR303" s="39"/>
      <c r="CS303" s="39"/>
      <c r="CT303" s="39"/>
      <c r="CU303" s="39"/>
      <c r="CV303" s="39"/>
      <c r="CW303" s="39"/>
      <c r="CX303" s="39"/>
    </row>
    <row r="304" spans="1:102" ht="31.5" x14ac:dyDescent="0.25">
      <c r="A304" s="25"/>
      <c r="B304" s="701" t="s">
        <v>319</v>
      </c>
      <c r="C304" s="207" t="s">
        <v>69</v>
      </c>
      <c r="D304" s="207">
        <v>0</v>
      </c>
      <c r="E304" s="263">
        <v>0</v>
      </c>
      <c r="F304" s="589"/>
      <c r="G304" s="235"/>
      <c r="H304" s="229"/>
      <c r="I304" s="39"/>
      <c r="J304" s="39"/>
      <c r="K304" s="39"/>
      <c r="L304" s="39"/>
      <c r="M304" s="39"/>
      <c r="N304" s="39"/>
      <c r="O304" s="39"/>
      <c r="P304" s="39"/>
      <c r="Q304" s="39"/>
      <c r="R304" s="39"/>
      <c r="S304" s="39"/>
      <c r="T304" s="39"/>
      <c r="U304" s="39"/>
      <c r="V304" s="39"/>
      <c r="W304" s="39"/>
      <c r="X304" s="39"/>
      <c r="Y304" s="39"/>
      <c r="Z304" s="39"/>
      <c r="AA304" s="39"/>
      <c r="AB304" s="39"/>
      <c r="AC304" s="39"/>
      <c r="AD304" s="39"/>
      <c r="AE304" s="39"/>
      <c r="AF304" s="39"/>
      <c r="AG304" s="39"/>
      <c r="AH304" s="39"/>
      <c r="AI304" s="39"/>
      <c r="AJ304" s="39"/>
      <c r="AK304" s="39"/>
      <c r="AL304" s="39"/>
      <c r="AM304" s="39"/>
      <c r="AN304" s="39"/>
      <c r="AO304" s="39"/>
      <c r="AP304" s="39"/>
      <c r="AQ304" s="39"/>
      <c r="AR304" s="39"/>
      <c r="AS304" s="39"/>
      <c r="AT304" s="39"/>
      <c r="AU304" s="39"/>
      <c r="AV304" s="39"/>
      <c r="AW304" s="39"/>
      <c r="AX304" s="39"/>
      <c r="AY304" s="39"/>
      <c r="AZ304" s="39"/>
      <c r="BA304" s="39"/>
      <c r="BB304" s="39"/>
      <c r="BC304" s="39"/>
      <c r="BD304" s="39"/>
      <c r="BE304" s="39"/>
      <c r="BF304" s="39"/>
      <c r="BG304" s="39"/>
      <c r="BH304" s="39"/>
      <c r="BI304" s="39"/>
      <c r="BJ304" s="39"/>
      <c r="BK304" s="39"/>
      <c r="BL304" s="39"/>
      <c r="BM304" s="39"/>
      <c r="BN304" s="39"/>
      <c r="BO304" s="39"/>
      <c r="BP304" s="39"/>
      <c r="BQ304" s="39"/>
      <c r="BR304" s="39"/>
      <c r="BS304" s="39"/>
      <c r="BT304" s="39"/>
      <c r="BU304" s="39"/>
      <c r="BV304" s="39"/>
      <c r="BW304" s="39"/>
      <c r="BX304" s="39"/>
      <c r="BY304" s="39"/>
      <c r="BZ304" s="39"/>
      <c r="CA304" s="39"/>
      <c r="CB304" s="39"/>
      <c r="CC304" s="39"/>
      <c r="CD304" s="39"/>
      <c r="CE304" s="39"/>
      <c r="CF304" s="39"/>
      <c r="CG304" s="39"/>
      <c r="CH304" s="39"/>
      <c r="CI304" s="39"/>
      <c r="CJ304" s="39"/>
      <c r="CK304" s="39"/>
      <c r="CL304" s="39"/>
      <c r="CM304" s="39"/>
      <c r="CN304" s="39"/>
      <c r="CO304" s="39"/>
      <c r="CP304" s="39"/>
      <c r="CQ304" s="39"/>
      <c r="CR304" s="39"/>
      <c r="CS304" s="39"/>
      <c r="CT304" s="39"/>
      <c r="CU304" s="39"/>
      <c r="CV304" s="39"/>
      <c r="CW304" s="39"/>
      <c r="CX304" s="39"/>
    </row>
    <row r="305" spans="1:102" ht="20.25" customHeight="1" x14ac:dyDescent="0.25">
      <c r="A305" s="25"/>
      <c r="B305" s="720" t="s">
        <v>320</v>
      </c>
      <c r="C305" s="207"/>
      <c r="D305" s="207"/>
      <c r="E305" s="263"/>
      <c r="F305" s="589"/>
      <c r="G305" s="235"/>
      <c r="H305" s="229"/>
      <c r="I305" s="39"/>
      <c r="J305" s="39"/>
      <c r="K305" s="39"/>
      <c r="L305" s="39"/>
      <c r="M305" s="39"/>
      <c r="N305" s="39"/>
      <c r="O305" s="39"/>
      <c r="P305" s="39"/>
      <c r="Q305" s="39"/>
      <c r="R305" s="39"/>
      <c r="S305" s="39"/>
      <c r="T305" s="39"/>
      <c r="U305" s="39"/>
      <c r="V305" s="39"/>
      <c r="W305" s="39"/>
      <c r="X305" s="39"/>
      <c r="Y305" s="39"/>
      <c r="Z305" s="39"/>
      <c r="AA305" s="39"/>
      <c r="AB305" s="39"/>
      <c r="AC305" s="39"/>
      <c r="AD305" s="39"/>
      <c r="AE305" s="39"/>
      <c r="AF305" s="39"/>
      <c r="AG305" s="39"/>
      <c r="AH305" s="39"/>
      <c r="AI305" s="39"/>
      <c r="AJ305" s="39"/>
      <c r="AK305" s="39"/>
      <c r="AL305" s="39"/>
      <c r="AM305" s="39"/>
      <c r="AN305" s="39"/>
      <c r="AO305" s="39"/>
      <c r="AP305" s="39"/>
      <c r="AQ305" s="39"/>
      <c r="AR305" s="39"/>
      <c r="AS305" s="39"/>
      <c r="AT305" s="39"/>
      <c r="AU305" s="39"/>
      <c r="AV305" s="39"/>
      <c r="AW305" s="39"/>
      <c r="AX305" s="39"/>
      <c r="AY305" s="39"/>
      <c r="AZ305" s="39"/>
      <c r="BA305" s="39"/>
      <c r="BB305" s="39"/>
      <c r="BC305" s="39"/>
      <c r="BD305" s="39"/>
      <c r="BE305" s="39"/>
      <c r="BF305" s="39"/>
      <c r="BG305" s="39"/>
      <c r="BH305" s="39"/>
      <c r="BI305" s="39"/>
      <c r="BJ305" s="39"/>
      <c r="BK305" s="39"/>
      <c r="BL305" s="39"/>
      <c r="BM305" s="39"/>
      <c r="BN305" s="39"/>
      <c r="BO305" s="39"/>
      <c r="BP305" s="39"/>
      <c r="BQ305" s="39"/>
      <c r="BR305" s="39"/>
      <c r="BS305" s="39"/>
      <c r="BT305" s="39"/>
      <c r="BU305" s="39"/>
      <c r="BV305" s="39"/>
      <c r="BW305" s="39"/>
      <c r="BX305" s="39"/>
      <c r="BY305" s="39"/>
      <c r="BZ305" s="39"/>
      <c r="CA305" s="39"/>
      <c r="CB305" s="39"/>
      <c r="CC305" s="39"/>
      <c r="CD305" s="39"/>
      <c r="CE305" s="39"/>
      <c r="CF305" s="39"/>
      <c r="CG305" s="39"/>
      <c r="CH305" s="39"/>
      <c r="CI305" s="39"/>
      <c r="CJ305" s="39"/>
      <c r="CK305" s="39"/>
      <c r="CL305" s="39"/>
      <c r="CM305" s="39"/>
      <c r="CN305" s="39"/>
      <c r="CO305" s="39"/>
      <c r="CP305" s="39"/>
      <c r="CQ305" s="39"/>
      <c r="CR305" s="39"/>
      <c r="CS305" s="39"/>
      <c r="CT305" s="39"/>
      <c r="CU305" s="39"/>
      <c r="CV305" s="39"/>
      <c r="CW305" s="39"/>
      <c r="CX305" s="39"/>
    </row>
    <row r="306" spans="1:102" ht="43.5" customHeight="1" x14ac:dyDescent="0.25">
      <c r="A306" s="25"/>
      <c r="B306" s="701" t="s">
        <v>321</v>
      </c>
      <c r="C306" s="207" t="s">
        <v>69</v>
      </c>
      <c r="D306" s="207">
        <v>0</v>
      </c>
      <c r="E306" s="263">
        <v>0</v>
      </c>
      <c r="F306" s="589"/>
      <c r="G306" s="235"/>
      <c r="H306" s="229"/>
      <c r="I306" s="39"/>
      <c r="J306" s="39"/>
      <c r="K306" s="39"/>
      <c r="L306" s="39"/>
      <c r="M306" s="39"/>
      <c r="N306" s="39"/>
      <c r="O306" s="39"/>
      <c r="P306" s="39"/>
      <c r="Q306" s="39"/>
      <c r="R306" s="39"/>
      <c r="S306" s="39"/>
      <c r="T306" s="39"/>
      <c r="U306" s="39"/>
      <c r="V306" s="39"/>
      <c r="W306" s="39"/>
      <c r="X306" s="39"/>
      <c r="Y306" s="39"/>
      <c r="Z306" s="39"/>
      <c r="AA306" s="39"/>
      <c r="AB306" s="39"/>
      <c r="AC306" s="39"/>
      <c r="AD306" s="39"/>
      <c r="AE306" s="39"/>
      <c r="AF306" s="39"/>
      <c r="AG306" s="39"/>
      <c r="AH306" s="39"/>
      <c r="AI306" s="39"/>
      <c r="AJ306" s="39"/>
      <c r="AK306" s="39"/>
      <c r="AL306" s="39"/>
      <c r="AM306" s="39"/>
      <c r="AN306" s="39"/>
      <c r="AO306" s="39"/>
      <c r="AP306" s="39"/>
      <c r="AQ306" s="39"/>
      <c r="AR306" s="39"/>
      <c r="AS306" s="39"/>
      <c r="AT306" s="39"/>
      <c r="AU306" s="39"/>
      <c r="AV306" s="39"/>
      <c r="AW306" s="39"/>
      <c r="AX306" s="39"/>
      <c r="AY306" s="39"/>
      <c r="AZ306" s="39"/>
      <c r="BA306" s="39"/>
      <c r="BB306" s="39"/>
      <c r="BC306" s="39"/>
      <c r="BD306" s="39"/>
      <c r="BE306" s="39"/>
      <c r="BF306" s="39"/>
      <c r="BG306" s="39"/>
      <c r="BH306" s="39"/>
      <c r="BI306" s="39"/>
      <c r="BJ306" s="39"/>
      <c r="BK306" s="39"/>
      <c r="BL306" s="39"/>
      <c r="BM306" s="39"/>
      <c r="BN306" s="39"/>
      <c r="BO306" s="39"/>
      <c r="BP306" s="39"/>
      <c r="BQ306" s="39"/>
      <c r="BR306" s="39"/>
      <c r="BS306" s="39"/>
      <c r="BT306" s="39"/>
      <c r="BU306" s="39"/>
      <c r="BV306" s="39"/>
      <c r="BW306" s="39"/>
      <c r="BX306" s="39"/>
      <c r="BY306" s="39"/>
      <c r="BZ306" s="39"/>
      <c r="CA306" s="39"/>
      <c r="CB306" s="39"/>
      <c r="CC306" s="39"/>
      <c r="CD306" s="39"/>
      <c r="CE306" s="39"/>
      <c r="CF306" s="39"/>
      <c r="CG306" s="39"/>
      <c r="CH306" s="39"/>
      <c r="CI306" s="39"/>
      <c r="CJ306" s="39"/>
      <c r="CK306" s="39"/>
      <c r="CL306" s="39"/>
      <c r="CM306" s="39"/>
      <c r="CN306" s="39"/>
      <c r="CO306" s="39"/>
      <c r="CP306" s="39"/>
      <c r="CQ306" s="39"/>
      <c r="CR306" s="39"/>
      <c r="CS306" s="39"/>
      <c r="CT306" s="39"/>
      <c r="CU306" s="39"/>
      <c r="CV306" s="39"/>
      <c r="CW306" s="39"/>
      <c r="CX306" s="39"/>
    </row>
    <row r="307" spans="1:102" s="131" customFormat="1" x14ac:dyDescent="0.25">
      <c r="A307" s="25"/>
      <c r="B307" s="795" t="s">
        <v>869</v>
      </c>
      <c r="C307" s="795"/>
      <c r="D307" s="795"/>
      <c r="E307" s="795"/>
      <c r="F307" s="795"/>
      <c r="G307" s="235"/>
      <c r="H307" s="227"/>
      <c r="I307" s="123"/>
      <c r="J307" s="123"/>
      <c r="K307" s="123"/>
      <c r="L307" s="123"/>
      <c r="M307" s="123"/>
      <c r="N307" s="123"/>
      <c r="O307" s="123"/>
      <c r="P307" s="123"/>
      <c r="Q307" s="123"/>
      <c r="R307" s="123"/>
      <c r="S307" s="123"/>
      <c r="T307" s="123"/>
      <c r="U307" s="123"/>
      <c r="V307" s="123"/>
      <c r="W307" s="123"/>
      <c r="X307" s="123"/>
      <c r="Y307" s="123"/>
      <c r="Z307" s="123"/>
      <c r="AA307" s="123"/>
      <c r="AB307" s="123"/>
      <c r="AC307" s="123"/>
      <c r="AD307" s="123"/>
      <c r="AE307" s="123"/>
      <c r="AF307" s="123"/>
      <c r="AG307" s="123"/>
      <c r="AH307" s="123"/>
      <c r="AI307" s="123"/>
      <c r="AJ307" s="123"/>
      <c r="AK307" s="123"/>
      <c r="AL307" s="123"/>
      <c r="AM307" s="123"/>
      <c r="AN307" s="123"/>
      <c r="AO307" s="123"/>
      <c r="AP307" s="123"/>
      <c r="AQ307" s="123"/>
      <c r="AR307" s="123"/>
      <c r="AS307" s="123"/>
      <c r="AT307" s="123"/>
      <c r="AU307" s="123"/>
      <c r="AV307" s="123"/>
      <c r="AW307" s="123"/>
      <c r="AX307" s="123"/>
      <c r="AY307" s="123"/>
      <c r="AZ307" s="123"/>
      <c r="BA307" s="123"/>
      <c r="BB307" s="123"/>
      <c r="BC307" s="123"/>
      <c r="BD307" s="123"/>
      <c r="BE307" s="123"/>
      <c r="BF307" s="123"/>
      <c r="BG307" s="123"/>
      <c r="BH307" s="123"/>
      <c r="BI307" s="123"/>
      <c r="BJ307" s="123"/>
      <c r="BK307" s="123"/>
      <c r="BL307" s="123"/>
      <c r="BM307" s="123"/>
      <c r="BN307" s="123"/>
      <c r="BO307" s="123"/>
      <c r="BP307" s="123"/>
      <c r="BQ307" s="123"/>
      <c r="BR307" s="123"/>
      <c r="BS307" s="123"/>
      <c r="BT307" s="123"/>
      <c r="BU307" s="123"/>
      <c r="BV307" s="123"/>
      <c r="BW307" s="123"/>
      <c r="BX307" s="123"/>
      <c r="BY307" s="123"/>
      <c r="BZ307" s="123"/>
      <c r="CA307" s="123"/>
      <c r="CB307" s="123"/>
      <c r="CC307" s="123"/>
      <c r="CD307" s="123"/>
      <c r="CE307" s="123"/>
      <c r="CF307" s="123"/>
      <c r="CG307" s="123"/>
      <c r="CH307" s="123"/>
      <c r="CI307" s="123"/>
      <c r="CJ307" s="123"/>
      <c r="CK307" s="123"/>
      <c r="CL307" s="123"/>
      <c r="CM307" s="123"/>
      <c r="CN307" s="123"/>
      <c r="CO307" s="123"/>
      <c r="CP307" s="123"/>
      <c r="CQ307" s="123"/>
      <c r="CR307" s="123"/>
      <c r="CS307" s="123"/>
      <c r="CT307" s="123"/>
      <c r="CU307" s="123"/>
      <c r="CV307" s="123"/>
      <c r="CW307" s="123"/>
      <c r="CX307" s="123"/>
    </row>
    <row r="308" spans="1:102" s="131" customFormat="1" ht="63.75" customHeight="1" x14ac:dyDescent="0.3">
      <c r="A308" s="25"/>
      <c r="B308" s="721" t="s">
        <v>868</v>
      </c>
      <c r="C308" s="207" t="s">
        <v>39</v>
      </c>
      <c r="D308" s="206">
        <v>11.9</v>
      </c>
      <c r="E308" s="206">
        <v>20</v>
      </c>
      <c r="F308" s="589">
        <v>100</v>
      </c>
      <c r="G308" s="235"/>
      <c r="H308" s="728" t="s">
        <v>1173</v>
      </c>
      <c r="I308" s="123"/>
      <c r="J308" s="123"/>
      <c r="K308" s="138"/>
      <c r="L308" s="123"/>
      <c r="M308" s="123"/>
      <c r="N308" s="123"/>
      <c r="O308" s="123"/>
      <c r="P308" s="123"/>
      <c r="Q308" s="123"/>
      <c r="R308" s="123"/>
      <c r="S308" s="123"/>
      <c r="T308" s="123"/>
      <c r="U308" s="123"/>
      <c r="V308" s="123"/>
      <c r="W308" s="123"/>
      <c r="X308" s="123"/>
      <c r="Y308" s="123"/>
      <c r="Z308" s="123"/>
      <c r="AA308" s="123"/>
      <c r="AB308" s="123"/>
      <c r="AC308" s="123"/>
      <c r="AD308" s="123"/>
      <c r="AE308" s="123"/>
      <c r="AF308" s="123"/>
      <c r="AG308" s="123"/>
      <c r="AH308" s="123"/>
      <c r="AI308" s="123"/>
      <c r="AJ308" s="123"/>
      <c r="AK308" s="123"/>
      <c r="AL308" s="123"/>
      <c r="AM308" s="123"/>
      <c r="AN308" s="123"/>
      <c r="AO308" s="123"/>
      <c r="AP308" s="123"/>
      <c r="AQ308" s="123"/>
      <c r="AR308" s="123"/>
      <c r="AS308" s="123"/>
      <c r="AT308" s="123"/>
      <c r="AU308" s="123"/>
      <c r="AV308" s="123"/>
      <c r="AW308" s="123"/>
      <c r="AX308" s="123"/>
      <c r="AY308" s="123"/>
      <c r="AZ308" s="123"/>
      <c r="BA308" s="123"/>
      <c r="BB308" s="123"/>
      <c r="BC308" s="123"/>
      <c r="BD308" s="123"/>
      <c r="BE308" s="123"/>
      <c r="BF308" s="123"/>
      <c r="BG308" s="123"/>
      <c r="BH308" s="123"/>
      <c r="BI308" s="123"/>
      <c r="BJ308" s="123"/>
      <c r="BK308" s="123"/>
      <c r="BL308" s="123"/>
      <c r="BM308" s="123"/>
      <c r="BN308" s="123"/>
      <c r="BO308" s="123"/>
      <c r="BP308" s="123"/>
      <c r="BQ308" s="123"/>
      <c r="BR308" s="123"/>
      <c r="BS308" s="123"/>
      <c r="BT308" s="123"/>
      <c r="BU308" s="123"/>
      <c r="BV308" s="123"/>
      <c r="BW308" s="123"/>
      <c r="BX308" s="123"/>
      <c r="BY308" s="123"/>
      <c r="BZ308" s="123"/>
      <c r="CA308" s="123"/>
      <c r="CB308" s="123"/>
      <c r="CC308" s="123"/>
      <c r="CD308" s="123"/>
      <c r="CE308" s="123"/>
      <c r="CF308" s="123"/>
      <c r="CG308" s="123"/>
      <c r="CH308" s="123"/>
      <c r="CI308" s="123"/>
      <c r="CJ308" s="123"/>
      <c r="CK308" s="123"/>
      <c r="CL308" s="123"/>
      <c r="CM308" s="123"/>
      <c r="CN308" s="123"/>
      <c r="CO308" s="123"/>
      <c r="CP308" s="123"/>
      <c r="CQ308" s="123"/>
      <c r="CR308" s="123"/>
      <c r="CS308" s="123"/>
      <c r="CT308" s="123"/>
      <c r="CU308" s="123"/>
      <c r="CV308" s="123"/>
      <c r="CW308" s="123"/>
      <c r="CX308" s="123"/>
    </row>
    <row r="309" spans="1:102" s="131" customFormat="1" ht="69" customHeight="1" x14ac:dyDescent="0.3">
      <c r="A309" s="25"/>
      <c r="B309" s="721" t="s">
        <v>909</v>
      </c>
      <c r="C309" s="207" t="s">
        <v>39</v>
      </c>
      <c r="D309" s="206">
        <v>3.4</v>
      </c>
      <c r="E309" s="206">
        <v>4</v>
      </c>
      <c r="F309" s="589">
        <v>100</v>
      </c>
      <c r="G309" s="235"/>
      <c r="H309" s="728" t="s">
        <v>1173</v>
      </c>
      <c r="I309" s="123"/>
      <c r="J309" s="123"/>
      <c r="K309" s="138"/>
      <c r="L309" s="123"/>
      <c r="M309" s="123"/>
      <c r="N309" s="123"/>
      <c r="O309" s="123"/>
      <c r="P309" s="123"/>
      <c r="Q309" s="123"/>
      <c r="R309" s="123"/>
      <c r="S309" s="123"/>
      <c r="T309" s="123"/>
      <c r="U309" s="123"/>
      <c r="V309" s="123"/>
      <c r="W309" s="123"/>
      <c r="X309" s="123"/>
      <c r="Y309" s="123"/>
      <c r="Z309" s="123"/>
      <c r="AA309" s="123"/>
      <c r="AB309" s="123"/>
      <c r="AC309" s="123"/>
      <c r="AD309" s="123"/>
      <c r="AE309" s="123"/>
      <c r="AF309" s="123"/>
      <c r="AG309" s="123"/>
      <c r="AH309" s="123"/>
      <c r="AI309" s="123"/>
      <c r="AJ309" s="123"/>
      <c r="AK309" s="123"/>
      <c r="AL309" s="123"/>
      <c r="AM309" s="123"/>
      <c r="AN309" s="123"/>
      <c r="AO309" s="123"/>
      <c r="AP309" s="123"/>
      <c r="AQ309" s="123"/>
      <c r="AR309" s="123"/>
      <c r="AS309" s="123"/>
      <c r="AT309" s="123"/>
      <c r="AU309" s="123"/>
      <c r="AV309" s="123"/>
      <c r="AW309" s="123"/>
      <c r="AX309" s="123"/>
      <c r="AY309" s="123"/>
      <c r="AZ309" s="123"/>
      <c r="BA309" s="123"/>
      <c r="BB309" s="123"/>
      <c r="BC309" s="123"/>
      <c r="BD309" s="123"/>
      <c r="BE309" s="123"/>
      <c r="BF309" s="123"/>
      <c r="BG309" s="123"/>
      <c r="BH309" s="123"/>
      <c r="BI309" s="123"/>
      <c r="BJ309" s="123"/>
      <c r="BK309" s="123"/>
      <c r="BL309" s="123"/>
      <c r="BM309" s="123"/>
      <c r="BN309" s="123"/>
      <c r="BO309" s="123"/>
      <c r="BP309" s="123"/>
      <c r="BQ309" s="123"/>
      <c r="BR309" s="123"/>
      <c r="BS309" s="123"/>
      <c r="BT309" s="123"/>
      <c r="BU309" s="123"/>
      <c r="BV309" s="123"/>
      <c r="BW309" s="123"/>
      <c r="BX309" s="123"/>
      <c r="BY309" s="123"/>
      <c r="BZ309" s="123"/>
      <c r="CA309" s="123"/>
      <c r="CB309" s="123"/>
      <c r="CC309" s="123"/>
      <c r="CD309" s="123"/>
      <c r="CE309" s="123"/>
      <c r="CF309" s="123"/>
      <c r="CG309" s="123"/>
      <c r="CH309" s="123"/>
      <c r="CI309" s="123"/>
      <c r="CJ309" s="123"/>
      <c r="CK309" s="123"/>
      <c r="CL309" s="123"/>
      <c r="CM309" s="123"/>
      <c r="CN309" s="123"/>
      <c r="CO309" s="123"/>
      <c r="CP309" s="123"/>
      <c r="CQ309" s="123"/>
      <c r="CR309" s="123"/>
      <c r="CS309" s="123"/>
      <c r="CT309" s="123"/>
      <c r="CU309" s="123"/>
      <c r="CV309" s="123"/>
      <c r="CW309" s="123"/>
      <c r="CX309" s="123"/>
    </row>
    <row r="310" spans="1:102" s="108" customFormat="1" x14ac:dyDescent="0.25">
      <c r="A310" s="279">
        <v>18</v>
      </c>
      <c r="B310" s="799" t="str">
        <f>свод!B237</f>
        <v>Муниципальная программа «Развитие образования муниципального района  «Горный улус» на 2020-2024 годы»</v>
      </c>
      <c r="C310" s="799"/>
      <c r="D310" s="799"/>
      <c r="E310" s="799"/>
      <c r="F310" s="799"/>
      <c r="G310" s="591">
        <f>AVERAGE(F313,F316,F317,F319,F320,F321,F322,F323,F324,F325,F326,F327,F328,F329,F330,F331,F332,F333,F334,F335,F337,F339,F341,F342,F344,F345,F346,F348,F349,F351,F352,F356,F359,F360,F361,F362,F363,F364,F365,F366,F367,F368,F371,F372,F374,F375,F376,F377,F380,F381,F382,F385,F386,F388,F391,F392,F393)</f>
        <v>75.769212208273515</v>
      </c>
      <c r="H310" s="217"/>
    </row>
    <row r="311" spans="1:102" s="138" customFormat="1" ht="33" customHeight="1" x14ac:dyDescent="0.25">
      <c r="A311" s="25"/>
      <c r="B311" s="797" t="s">
        <v>322</v>
      </c>
      <c r="C311" s="797"/>
      <c r="D311" s="797"/>
      <c r="E311" s="797"/>
      <c r="F311" s="797"/>
      <c r="G311" s="25"/>
      <c r="H311" s="216"/>
    </row>
    <row r="312" spans="1:102" s="138" customFormat="1" ht="22.5" customHeight="1" x14ac:dyDescent="0.25">
      <c r="A312" s="25"/>
      <c r="B312" s="796" t="s">
        <v>323</v>
      </c>
      <c r="C312" s="796"/>
      <c r="D312" s="796"/>
      <c r="E312" s="796"/>
      <c r="F312" s="796"/>
      <c r="G312" s="25"/>
      <c r="H312" s="216"/>
    </row>
    <row r="313" spans="1:102" s="138" customFormat="1" ht="31.5" x14ac:dyDescent="0.25">
      <c r="A313" s="25"/>
      <c r="B313" s="683" t="s">
        <v>84</v>
      </c>
      <c r="C313" s="29" t="s">
        <v>85</v>
      </c>
      <c r="D313" s="492" t="s">
        <v>86</v>
      </c>
      <c r="E313" s="492" t="s">
        <v>1066</v>
      </c>
      <c r="F313" s="33">
        <v>100</v>
      </c>
      <c r="G313" s="32"/>
      <c r="H313" s="216" t="s">
        <v>1203</v>
      </c>
      <c r="I313" s="123"/>
      <c r="J313" s="123"/>
      <c r="L313" s="123"/>
      <c r="M313" s="123"/>
      <c r="N313" s="123"/>
      <c r="O313" s="123"/>
      <c r="P313" s="123"/>
      <c r="Q313" s="123"/>
      <c r="R313" s="123"/>
      <c r="S313" s="123"/>
      <c r="T313" s="123"/>
      <c r="U313" s="123"/>
      <c r="V313" s="123"/>
      <c r="W313" s="123"/>
      <c r="X313" s="123"/>
      <c r="Y313" s="123"/>
      <c r="Z313" s="123"/>
      <c r="AA313" s="123"/>
      <c r="AB313" s="123"/>
      <c r="AC313" s="123"/>
      <c r="AD313" s="123"/>
      <c r="AE313" s="123"/>
      <c r="AF313" s="123"/>
      <c r="AG313" s="123"/>
      <c r="AH313" s="123"/>
      <c r="AI313" s="123"/>
      <c r="AJ313" s="123"/>
      <c r="AK313" s="123"/>
      <c r="AL313" s="123"/>
      <c r="AM313" s="123"/>
      <c r="AN313" s="123"/>
      <c r="AO313" s="123"/>
      <c r="AP313" s="123"/>
      <c r="AQ313" s="123"/>
      <c r="AR313" s="123"/>
      <c r="AS313" s="123"/>
      <c r="AT313" s="123"/>
      <c r="AU313" s="123"/>
      <c r="AV313" s="123"/>
      <c r="AW313" s="123"/>
      <c r="AX313" s="123"/>
      <c r="AY313" s="123"/>
      <c r="AZ313" s="123"/>
      <c r="BA313" s="123"/>
      <c r="BB313" s="123"/>
      <c r="BC313" s="123"/>
      <c r="BD313" s="123"/>
      <c r="BE313" s="123"/>
      <c r="BF313" s="123"/>
      <c r="BG313" s="123"/>
      <c r="BH313" s="123"/>
      <c r="BI313" s="123"/>
      <c r="BJ313" s="123"/>
      <c r="BK313" s="123"/>
      <c r="BL313" s="123"/>
      <c r="BM313" s="123"/>
      <c r="BN313" s="123"/>
      <c r="BO313" s="123"/>
      <c r="BP313" s="123"/>
      <c r="BQ313" s="123"/>
      <c r="BR313" s="123"/>
      <c r="BS313" s="123"/>
      <c r="BT313" s="123"/>
      <c r="BU313" s="123"/>
      <c r="BV313" s="123"/>
      <c r="BW313" s="123"/>
      <c r="BX313" s="123"/>
      <c r="BY313" s="123"/>
      <c r="BZ313" s="123"/>
      <c r="CA313" s="123"/>
      <c r="CB313" s="123"/>
      <c r="CC313" s="123"/>
      <c r="CD313" s="123"/>
      <c r="CE313" s="123"/>
      <c r="CF313" s="123"/>
      <c r="CG313" s="123"/>
      <c r="CH313" s="123"/>
      <c r="CI313" s="123"/>
      <c r="CJ313" s="123"/>
      <c r="CK313" s="123"/>
      <c r="CL313" s="123"/>
      <c r="CM313" s="123"/>
      <c r="CN313" s="123"/>
      <c r="CO313" s="123"/>
      <c r="CP313" s="123"/>
      <c r="CQ313" s="123"/>
      <c r="CR313" s="123"/>
      <c r="CS313" s="123"/>
      <c r="CT313" s="123"/>
      <c r="CU313" s="123"/>
      <c r="CV313" s="123"/>
      <c r="CW313" s="123"/>
      <c r="CX313" s="123"/>
    </row>
    <row r="314" spans="1:102" s="138" customFormat="1" x14ac:dyDescent="0.25">
      <c r="A314" s="25"/>
      <c r="B314" s="812" t="s">
        <v>324</v>
      </c>
      <c r="C314" s="812"/>
      <c r="D314" s="812"/>
      <c r="E314" s="812"/>
      <c r="F314" s="812"/>
      <c r="G314" s="32"/>
      <c r="H314" s="216"/>
      <c r="I314" s="123"/>
      <c r="J314" s="123"/>
      <c r="K314" s="123"/>
      <c r="L314" s="123"/>
      <c r="M314" s="123"/>
      <c r="N314" s="123"/>
      <c r="O314" s="123"/>
      <c r="P314" s="123"/>
      <c r="Q314" s="123"/>
      <c r="R314" s="123"/>
      <c r="S314" s="123"/>
      <c r="T314" s="123"/>
      <c r="U314" s="123"/>
      <c r="V314" s="123"/>
      <c r="W314" s="123"/>
      <c r="X314" s="123"/>
      <c r="Y314" s="123"/>
      <c r="Z314" s="123"/>
      <c r="AA314" s="123"/>
      <c r="AB314" s="123"/>
      <c r="AC314" s="123"/>
      <c r="AD314" s="123"/>
      <c r="AE314" s="123"/>
      <c r="AF314" s="123"/>
      <c r="AG314" s="123"/>
      <c r="AH314" s="123"/>
      <c r="AI314" s="123"/>
      <c r="AJ314" s="123"/>
      <c r="AK314" s="123"/>
      <c r="AL314" s="123"/>
      <c r="AM314" s="123"/>
      <c r="AN314" s="123"/>
      <c r="AO314" s="123"/>
      <c r="AP314" s="123"/>
      <c r="AQ314" s="123"/>
      <c r="AR314" s="123"/>
      <c r="AS314" s="123"/>
      <c r="AT314" s="123"/>
      <c r="AU314" s="123"/>
      <c r="AV314" s="123"/>
      <c r="AW314" s="123"/>
      <c r="AX314" s="123"/>
      <c r="AY314" s="123"/>
      <c r="AZ314" s="123"/>
      <c r="BA314" s="123"/>
      <c r="BB314" s="123"/>
      <c r="BC314" s="123"/>
      <c r="BD314" s="123"/>
      <c r="BE314" s="123"/>
      <c r="BF314" s="123"/>
      <c r="BG314" s="123"/>
      <c r="BH314" s="123"/>
      <c r="BI314" s="123"/>
      <c r="BJ314" s="123"/>
      <c r="BK314" s="123"/>
      <c r="BL314" s="123"/>
      <c r="BM314" s="123"/>
      <c r="BN314" s="123"/>
      <c r="BO314" s="123"/>
      <c r="BP314" s="123"/>
      <c r="BQ314" s="123"/>
      <c r="BR314" s="123"/>
      <c r="BS314" s="123"/>
      <c r="BT314" s="123"/>
      <c r="BU314" s="123"/>
      <c r="BV314" s="123"/>
      <c r="BW314" s="123"/>
      <c r="BX314" s="123"/>
      <c r="BY314" s="123"/>
      <c r="BZ314" s="123"/>
      <c r="CA314" s="123"/>
      <c r="CB314" s="123"/>
      <c r="CC314" s="123"/>
      <c r="CD314" s="123"/>
      <c r="CE314" s="123"/>
      <c r="CF314" s="123"/>
      <c r="CG314" s="123"/>
      <c r="CH314" s="123"/>
      <c r="CI314" s="123"/>
      <c r="CJ314" s="123"/>
      <c r="CK314" s="123"/>
      <c r="CL314" s="123"/>
      <c r="CM314" s="123"/>
      <c r="CN314" s="123"/>
      <c r="CO314" s="123"/>
      <c r="CP314" s="123"/>
      <c r="CQ314" s="123"/>
      <c r="CR314" s="123"/>
      <c r="CS314" s="123"/>
      <c r="CT314" s="123"/>
      <c r="CU314" s="123"/>
      <c r="CV314" s="123"/>
      <c r="CW314" s="123"/>
      <c r="CX314" s="123"/>
    </row>
    <row r="315" spans="1:102" s="138" customFormat="1" ht="33" customHeight="1" x14ac:dyDescent="0.25">
      <c r="A315" s="25"/>
      <c r="B315" s="807" t="s">
        <v>325</v>
      </c>
      <c r="C315" s="807"/>
      <c r="D315" s="807"/>
      <c r="E315" s="807"/>
      <c r="F315" s="807"/>
      <c r="G315" s="32"/>
      <c r="H315" s="216"/>
      <c r="I315" s="123"/>
      <c r="J315" s="123"/>
      <c r="K315" s="123"/>
      <c r="L315" s="123"/>
      <c r="M315" s="123"/>
      <c r="N315" s="123"/>
      <c r="O315" s="123"/>
      <c r="P315" s="123"/>
      <c r="Q315" s="123"/>
      <c r="R315" s="123"/>
      <c r="S315" s="123"/>
      <c r="T315" s="123"/>
      <c r="U315" s="123"/>
      <c r="V315" s="123"/>
      <c r="W315" s="123"/>
      <c r="X315" s="123"/>
      <c r="Y315" s="123"/>
      <c r="Z315" s="123"/>
      <c r="AA315" s="123"/>
      <c r="AB315" s="123"/>
      <c r="AC315" s="123"/>
      <c r="AD315" s="123"/>
      <c r="AE315" s="123"/>
      <c r="AF315" s="123"/>
      <c r="AG315" s="123"/>
      <c r="AH315" s="123"/>
      <c r="AI315" s="123"/>
      <c r="AJ315" s="123"/>
      <c r="AK315" s="123"/>
      <c r="AL315" s="123"/>
      <c r="AM315" s="123"/>
      <c r="AN315" s="123"/>
      <c r="AO315" s="123"/>
      <c r="AP315" s="123"/>
      <c r="AQ315" s="123"/>
      <c r="AR315" s="123"/>
      <c r="AS315" s="123"/>
      <c r="AT315" s="123"/>
      <c r="AU315" s="123"/>
      <c r="AV315" s="123"/>
      <c r="AW315" s="123"/>
      <c r="AX315" s="123"/>
      <c r="AY315" s="123"/>
      <c r="AZ315" s="123"/>
      <c r="BA315" s="123"/>
      <c r="BB315" s="123"/>
      <c r="BC315" s="123"/>
      <c r="BD315" s="123"/>
      <c r="BE315" s="123"/>
      <c r="BF315" s="123"/>
      <c r="BG315" s="123"/>
      <c r="BH315" s="123"/>
      <c r="BI315" s="123"/>
      <c r="BJ315" s="123"/>
      <c r="BK315" s="123"/>
      <c r="BL315" s="123"/>
      <c r="BM315" s="123"/>
      <c r="BN315" s="123"/>
      <c r="BO315" s="123"/>
      <c r="BP315" s="123"/>
      <c r="BQ315" s="123"/>
      <c r="BR315" s="123"/>
      <c r="BS315" s="123"/>
      <c r="BT315" s="123"/>
      <c r="BU315" s="123"/>
      <c r="BV315" s="123"/>
      <c r="BW315" s="123"/>
      <c r="BX315" s="123"/>
      <c r="BY315" s="123"/>
      <c r="BZ315" s="123"/>
      <c r="CA315" s="123"/>
      <c r="CB315" s="123"/>
      <c r="CC315" s="123"/>
      <c r="CD315" s="123"/>
      <c r="CE315" s="123"/>
      <c r="CF315" s="123"/>
      <c r="CG315" s="123"/>
      <c r="CH315" s="123"/>
      <c r="CI315" s="123"/>
      <c r="CJ315" s="123"/>
      <c r="CK315" s="123"/>
      <c r="CL315" s="123"/>
      <c r="CM315" s="123"/>
      <c r="CN315" s="123"/>
      <c r="CO315" s="123"/>
      <c r="CP315" s="123"/>
      <c r="CQ315" s="123"/>
      <c r="CR315" s="123"/>
      <c r="CS315" s="123"/>
      <c r="CT315" s="123"/>
      <c r="CU315" s="123"/>
      <c r="CV315" s="123"/>
      <c r="CW315" s="123"/>
      <c r="CX315" s="123"/>
    </row>
    <row r="316" spans="1:102" s="138" customFormat="1" ht="94.5" x14ac:dyDescent="0.25">
      <c r="A316" s="25"/>
      <c r="B316" s="684" t="s">
        <v>87</v>
      </c>
      <c r="C316" s="29" t="s">
        <v>39</v>
      </c>
      <c r="D316" s="493">
        <v>62</v>
      </c>
      <c r="E316" s="493">
        <v>67.3</v>
      </c>
      <c r="F316" s="33">
        <v>100</v>
      </c>
      <c r="G316" s="32"/>
      <c r="H316" s="836" t="s">
        <v>1204</v>
      </c>
      <c r="I316" s="123"/>
      <c r="J316" s="123"/>
      <c r="L316" s="123"/>
      <c r="M316" s="123"/>
      <c r="N316" s="123"/>
      <c r="O316" s="123"/>
      <c r="P316" s="123"/>
      <c r="Q316" s="123"/>
      <c r="R316" s="123"/>
      <c r="S316" s="123"/>
      <c r="T316" s="123"/>
      <c r="U316" s="123"/>
      <c r="V316" s="123"/>
      <c r="W316" s="123"/>
      <c r="X316" s="123"/>
      <c r="Y316" s="123"/>
      <c r="Z316" s="123"/>
      <c r="AA316" s="123"/>
      <c r="AB316" s="123"/>
      <c r="AC316" s="123"/>
      <c r="AD316" s="123"/>
      <c r="AE316" s="123"/>
      <c r="AF316" s="123"/>
      <c r="AG316" s="123"/>
      <c r="AH316" s="123"/>
      <c r="AI316" s="123"/>
      <c r="AJ316" s="123"/>
      <c r="AK316" s="123"/>
      <c r="AL316" s="123"/>
      <c r="AM316" s="123"/>
      <c r="AN316" s="123"/>
      <c r="AO316" s="123"/>
      <c r="AP316" s="123"/>
      <c r="AQ316" s="123"/>
      <c r="AR316" s="123"/>
      <c r="AS316" s="123"/>
      <c r="AT316" s="123"/>
      <c r="AU316" s="123"/>
      <c r="AV316" s="123"/>
      <c r="AW316" s="123"/>
      <c r="AX316" s="123"/>
      <c r="AY316" s="123"/>
      <c r="AZ316" s="123"/>
      <c r="BA316" s="123"/>
      <c r="BB316" s="123"/>
      <c r="BC316" s="123"/>
      <c r="BD316" s="123"/>
      <c r="BE316" s="123"/>
      <c r="BF316" s="123"/>
      <c r="BG316" s="123"/>
      <c r="BH316" s="123"/>
      <c r="BI316" s="123"/>
      <c r="BJ316" s="123"/>
      <c r="BK316" s="123"/>
      <c r="BL316" s="123"/>
      <c r="BM316" s="123"/>
      <c r="BN316" s="123"/>
      <c r="BO316" s="123"/>
      <c r="BP316" s="123"/>
      <c r="BQ316" s="123"/>
      <c r="BR316" s="123"/>
      <c r="BS316" s="123"/>
      <c r="BT316" s="123"/>
      <c r="BU316" s="123"/>
      <c r="BV316" s="123"/>
      <c r="BW316" s="123"/>
      <c r="BX316" s="123"/>
      <c r="BY316" s="123"/>
      <c r="BZ316" s="123"/>
      <c r="CA316" s="123"/>
      <c r="CB316" s="123"/>
      <c r="CC316" s="123"/>
      <c r="CD316" s="123"/>
      <c r="CE316" s="123"/>
      <c r="CF316" s="123"/>
      <c r="CG316" s="123"/>
      <c r="CH316" s="123"/>
      <c r="CI316" s="123"/>
      <c r="CJ316" s="123"/>
      <c r="CK316" s="123"/>
      <c r="CL316" s="123"/>
      <c r="CM316" s="123"/>
      <c r="CN316" s="123"/>
      <c r="CO316" s="123"/>
      <c r="CP316" s="123"/>
      <c r="CQ316" s="123"/>
      <c r="CR316" s="123"/>
      <c r="CS316" s="123"/>
      <c r="CT316" s="123"/>
      <c r="CU316" s="123"/>
      <c r="CV316" s="123"/>
      <c r="CW316" s="123"/>
      <c r="CX316" s="123"/>
    </row>
    <row r="317" spans="1:102" s="138" customFormat="1" ht="47.25" x14ac:dyDescent="0.25">
      <c r="A317" s="25"/>
      <c r="B317" s="683" t="s">
        <v>88</v>
      </c>
      <c r="C317" s="29" t="s">
        <v>39</v>
      </c>
      <c r="D317" s="493">
        <v>38</v>
      </c>
      <c r="E317" s="493">
        <v>32.700000000000003</v>
      </c>
      <c r="F317" s="33">
        <v>100</v>
      </c>
      <c r="G317" s="32"/>
      <c r="H317" s="836"/>
      <c r="I317" s="123"/>
      <c r="J317" s="123"/>
      <c r="L317" s="123"/>
      <c r="M317" s="123"/>
      <c r="N317" s="123"/>
      <c r="O317" s="123"/>
      <c r="P317" s="123"/>
      <c r="Q317" s="123"/>
      <c r="R317" s="123"/>
      <c r="S317" s="123"/>
      <c r="T317" s="123"/>
      <c r="U317" s="123"/>
      <c r="V317" s="123"/>
      <c r="W317" s="123"/>
      <c r="X317" s="123"/>
      <c r="Y317" s="123"/>
      <c r="Z317" s="123"/>
      <c r="AA317" s="123"/>
      <c r="AB317" s="123"/>
      <c r="AC317" s="123"/>
      <c r="AD317" s="123"/>
      <c r="AE317" s="123"/>
      <c r="AF317" s="123"/>
      <c r="AG317" s="123"/>
      <c r="AH317" s="123"/>
      <c r="AI317" s="123"/>
      <c r="AJ317" s="123"/>
      <c r="AK317" s="123"/>
      <c r="AL317" s="123"/>
      <c r="AM317" s="123"/>
      <c r="AN317" s="123"/>
      <c r="AO317" s="123"/>
      <c r="AP317" s="123"/>
      <c r="AQ317" s="123"/>
      <c r="AR317" s="123"/>
      <c r="AS317" s="123"/>
      <c r="AT317" s="123"/>
      <c r="AU317" s="123"/>
      <c r="AV317" s="123"/>
      <c r="AW317" s="123"/>
      <c r="AX317" s="123"/>
      <c r="AY317" s="123"/>
      <c r="AZ317" s="123"/>
      <c r="BA317" s="123"/>
      <c r="BB317" s="123"/>
      <c r="BC317" s="123"/>
      <c r="BD317" s="123"/>
      <c r="BE317" s="123"/>
      <c r="BF317" s="123"/>
      <c r="BG317" s="123"/>
      <c r="BH317" s="123"/>
      <c r="BI317" s="123"/>
      <c r="BJ317" s="123"/>
      <c r="BK317" s="123"/>
      <c r="BL317" s="123"/>
      <c r="BM317" s="123"/>
      <c r="BN317" s="123"/>
      <c r="BO317" s="123"/>
      <c r="BP317" s="123"/>
      <c r="BQ317" s="123"/>
      <c r="BR317" s="123"/>
      <c r="BS317" s="123"/>
      <c r="BT317" s="123"/>
      <c r="BU317" s="123"/>
      <c r="BV317" s="123"/>
      <c r="BW317" s="123"/>
      <c r="BX317" s="123"/>
      <c r="BY317" s="123"/>
      <c r="BZ317" s="123"/>
      <c r="CA317" s="123"/>
      <c r="CB317" s="123"/>
      <c r="CC317" s="123"/>
      <c r="CD317" s="123"/>
      <c r="CE317" s="123"/>
      <c r="CF317" s="123"/>
      <c r="CG317" s="123"/>
      <c r="CH317" s="123"/>
      <c r="CI317" s="123"/>
      <c r="CJ317" s="123"/>
      <c r="CK317" s="123"/>
      <c r="CL317" s="123"/>
      <c r="CM317" s="123"/>
      <c r="CN317" s="123"/>
      <c r="CO317" s="123"/>
      <c r="CP317" s="123"/>
      <c r="CQ317" s="123"/>
      <c r="CR317" s="123"/>
      <c r="CS317" s="123"/>
      <c r="CT317" s="123"/>
      <c r="CU317" s="123"/>
      <c r="CV317" s="123"/>
      <c r="CW317" s="123"/>
      <c r="CX317" s="123"/>
    </row>
    <row r="318" spans="1:102" s="138" customFormat="1" ht="33" customHeight="1" x14ac:dyDescent="0.25">
      <c r="A318" s="25"/>
      <c r="B318" s="807" t="s">
        <v>326</v>
      </c>
      <c r="C318" s="807"/>
      <c r="D318" s="807"/>
      <c r="E318" s="807"/>
      <c r="F318" s="807"/>
      <c r="G318" s="32"/>
      <c r="H318" s="216"/>
      <c r="I318" s="123"/>
      <c r="J318" s="123"/>
      <c r="K318" s="123"/>
      <c r="L318" s="123"/>
      <c r="M318" s="123"/>
      <c r="N318" s="123"/>
      <c r="O318" s="123"/>
      <c r="P318" s="123"/>
      <c r="Q318" s="123"/>
      <c r="R318" s="123"/>
      <c r="S318" s="123"/>
      <c r="T318" s="123"/>
      <c r="U318" s="123"/>
      <c r="V318" s="123"/>
      <c r="W318" s="123"/>
      <c r="X318" s="123"/>
      <c r="Y318" s="123"/>
      <c r="Z318" s="123"/>
      <c r="AA318" s="123"/>
      <c r="AB318" s="123"/>
      <c r="AC318" s="123"/>
      <c r="AD318" s="123"/>
      <c r="AE318" s="123"/>
      <c r="AF318" s="123"/>
      <c r="AG318" s="123"/>
      <c r="AH318" s="123"/>
      <c r="AI318" s="123"/>
      <c r="AJ318" s="123"/>
      <c r="AK318" s="123"/>
      <c r="AL318" s="123"/>
      <c r="AM318" s="123"/>
      <c r="AN318" s="123"/>
      <c r="AO318" s="123"/>
      <c r="AP318" s="123"/>
      <c r="AQ318" s="123"/>
      <c r="AR318" s="123"/>
      <c r="AS318" s="123"/>
      <c r="AT318" s="123"/>
      <c r="AU318" s="123"/>
      <c r="AV318" s="123"/>
      <c r="AW318" s="123"/>
      <c r="AX318" s="123"/>
      <c r="AY318" s="123"/>
      <c r="AZ318" s="123"/>
      <c r="BA318" s="123"/>
      <c r="BB318" s="123"/>
      <c r="BC318" s="123"/>
      <c r="BD318" s="123"/>
      <c r="BE318" s="123"/>
      <c r="BF318" s="123"/>
      <c r="BG318" s="123"/>
      <c r="BH318" s="123"/>
      <c r="BI318" s="123"/>
      <c r="BJ318" s="123"/>
      <c r="BK318" s="123"/>
      <c r="BL318" s="123"/>
      <c r="BM318" s="123"/>
      <c r="BN318" s="123"/>
      <c r="BO318" s="123"/>
      <c r="BP318" s="123"/>
      <c r="BQ318" s="123"/>
      <c r="BR318" s="123"/>
      <c r="BS318" s="123"/>
      <c r="BT318" s="123"/>
      <c r="BU318" s="123"/>
      <c r="BV318" s="123"/>
      <c r="BW318" s="123"/>
      <c r="BX318" s="123"/>
      <c r="BY318" s="123"/>
      <c r="BZ318" s="123"/>
      <c r="CA318" s="123"/>
      <c r="CB318" s="123"/>
      <c r="CC318" s="123"/>
      <c r="CD318" s="123"/>
      <c r="CE318" s="123"/>
      <c r="CF318" s="123"/>
      <c r="CG318" s="123"/>
      <c r="CH318" s="123"/>
      <c r="CI318" s="123"/>
      <c r="CJ318" s="123"/>
      <c r="CK318" s="123"/>
      <c r="CL318" s="123"/>
      <c r="CM318" s="123"/>
      <c r="CN318" s="123"/>
      <c r="CO318" s="123"/>
      <c r="CP318" s="123"/>
      <c r="CQ318" s="123"/>
      <c r="CR318" s="123"/>
      <c r="CS318" s="123"/>
      <c r="CT318" s="123"/>
      <c r="CU318" s="123"/>
      <c r="CV318" s="123"/>
      <c r="CW318" s="123"/>
      <c r="CX318" s="123"/>
    </row>
    <row r="319" spans="1:102" s="138" customFormat="1" ht="47.25" x14ac:dyDescent="0.25">
      <c r="A319" s="25"/>
      <c r="B319" s="685" t="s">
        <v>89</v>
      </c>
      <c r="C319" s="29" t="s">
        <v>39</v>
      </c>
      <c r="D319" s="493">
        <v>100</v>
      </c>
      <c r="E319" s="493">
        <v>100</v>
      </c>
      <c r="F319" s="204">
        <f>IF((E319/D319*100)&gt;100,"100",E319/D319*100)</f>
        <v>100</v>
      </c>
      <c r="G319" s="32"/>
      <c r="H319" s="672" t="s">
        <v>1067</v>
      </c>
      <c r="I319" s="123"/>
      <c r="J319" s="123"/>
      <c r="L319" s="123"/>
      <c r="M319" s="123"/>
      <c r="N319" s="123"/>
      <c r="O319" s="123"/>
      <c r="P319" s="123"/>
      <c r="Q319" s="123"/>
      <c r="R319" s="123"/>
      <c r="S319" s="123"/>
      <c r="T319" s="123"/>
      <c r="U319" s="123"/>
      <c r="V319" s="123"/>
      <c r="W319" s="123"/>
      <c r="X319" s="123"/>
      <c r="Y319" s="123"/>
      <c r="Z319" s="123"/>
      <c r="AA319" s="123"/>
      <c r="AB319" s="123"/>
      <c r="AC319" s="123"/>
      <c r="AD319" s="123"/>
      <c r="AE319" s="123"/>
      <c r="AF319" s="123"/>
      <c r="AG319" s="123"/>
      <c r="AH319" s="123"/>
      <c r="AI319" s="123"/>
      <c r="AJ319" s="123"/>
      <c r="AK319" s="123"/>
      <c r="AL319" s="123"/>
      <c r="AM319" s="123"/>
      <c r="AN319" s="123"/>
      <c r="AO319" s="123"/>
      <c r="AP319" s="123"/>
      <c r="AQ319" s="123"/>
      <c r="AR319" s="123"/>
      <c r="AS319" s="123"/>
      <c r="AT319" s="123"/>
      <c r="AU319" s="123"/>
      <c r="AV319" s="123"/>
      <c r="AW319" s="123"/>
      <c r="AX319" s="123"/>
      <c r="AY319" s="123"/>
      <c r="AZ319" s="123"/>
      <c r="BA319" s="123"/>
      <c r="BB319" s="123"/>
      <c r="BC319" s="123"/>
      <c r="BD319" s="123"/>
      <c r="BE319" s="123"/>
      <c r="BF319" s="123"/>
      <c r="BG319" s="123"/>
      <c r="BH319" s="123"/>
      <c r="BI319" s="123"/>
      <c r="BJ319" s="123"/>
      <c r="BK319" s="123"/>
      <c r="BL319" s="123"/>
      <c r="BM319" s="123"/>
      <c r="BN319" s="123"/>
      <c r="BO319" s="123"/>
      <c r="BP319" s="123"/>
      <c r="BQ319" s="123"/>
      <c r="BR319" s="123"/>
      <c r="BS319" s="123"/>
      <c r="BT319" s="123"/>
      <c r="BU319" s="123"/>
      <c r="BV319" s="123"/>
      <c r="BW319" s="123"/>
      <c r="BX319" s="123"/>
      <c r="BY319" s="123"/>
      <c r="BZ319" s="123"/>
      <c r="CA319" s="123"/>
      <c r="CB319" s="123"/>
      <c r="CC319" s="123"/>
      <c r="CD319" s="123"/>
      <c r="CE319" s="123"/>
      <c r="CF319" s="123"/>
      <c r="CG319" s="123"/>
      <c r="CH319" s="123"/>
      <c r="CI319" s="123"/>
      <c r="CJ319" s="123"/>
      <c r="CK319" s="123"/>
      <c r="CL319" s="123"/>
      <c r="CM319" s="123"/>
      <c r="CN319" s="123"/>
      <c r="CO319" s="123"/>
      <c r="CP319" s="123"/>
      <c r="CQ319" s="123"/>
      <c r="CR319" s="123"/>
      <c r="CS319" s="123"/>
      <c r="CT319" s="123"/>
      <c r="CU319" s="123"/>
      <c r="CV319" s="123"/>
      <c r="CW319" s="123"/>
      <c r="CX319" s="123"/>
    </row>
    <row r="320" spans="1:102" s="138" customFormat="1" x14ac:dyDescent="0.25">
      <c r="A320" s="25"/>
      <c r="B320" s="686" t="s">
        <v>90</v>
      </c>
      <c r="C320" s="29" t="s">
        <v>31</v>
      </c>
      <c r="D320" s="493">
        <v>62.8</v>
      </c>
      <c r="E320" s="493">
        <v>67.5</v>
      </c>
      <c r="F320" s="204" t="str">
        <f>IF((E320/D320*100)&gt;100,"100",E320/D320*100)</f>
        <v>100</v>
      </c>
      <c r="G320" s="32"/>
      <c r="H320" s="672" t="s">
        <v>1068</v>
      </c>
      <c r="I320" s="123"/>
      <c r="J320" s="123"/>
      <c r="L320" s="123"/>
      <c r="M320" s="123"/>
      <c r="N320" s="123"/>
      <c r="O320" s="123"/>
      <c r="P320" s="123"/>
      <c r="Q320" s="123"/>
      <c r="R320" s="123"/>
      <c r="S320" s="123"/>
      <c r="T320" s="123"/>
      <c r="U320" s="123"/>
      <c r="V320" s="123"/>
      <c r="W320" s="123"/>
      <c r="X320" s="123"/>
      <c r="Y320" s="123"/>
      <c r="Z320" s="123"/>
      <c r="AA320" s="123"/>
      <c r="AB320" s="123"/>
      <c r="AC320" s="123"/>
      <c r="AD320" s="123"/>
      <c r="AE320" s="123"/>
      <c r="AF320" s="123"/>
      <c r="AG320" s="123"/>
      <c r="AH320" s="123"/>
      <c r="AI320" s="123"/>
      <c r="AJ320" s="123"/>
      <c r="AK320" s="123"/>
      <c r="AL320" s="123"/>
      <c r="AM320" s="123"/>
      <c r="AN320" s="123"/>
      <c r="AO320" s="123"/>
      <c r="AP320" s="123"/>
      <c r="AQ320" s="123"/>
      <c r="AR320" s="123"/>
      <c r="AS320" s="123"/>
      <c r="AT320" s="123"/>
      <c r="AU320" s="123"/>
      <c r="AV320" s="123"/>
      <c r="AW320" s="123"/>
      <c r="AX320" s="123"/>
      <c r="AY320" s="123"/>
      <c r="AZ320" s="123"/>
      <c r="BA320" s="123"/>
      <c r="BB320" s="123"/>
      <c r="BC320" s="123"/>
      <c r="BD320" s="123"/>
      <c r="BE320" s="123"/>
      <c r="BF320" s="123"/>
      <c r="BG320" s="123"/>
      <c r="BH320" s="123"/>
      <c r="BI320" s="123"/>
      <c r="BJ320" s="123"/>
      <c r="BK320" s="123"/>
      <c r="BL320" s="123"/>
      <c r="BM320" s="123"/>
      <c r="BN320" s="123"/>
      <c r="BO320" s="123"/>
      <c r="BP320" s="123"/>
      <c r="BQ320" s="123"/>
      <c r="BR320" s="123"/>
      <c r="BS320" s="123"/>
      <c r="BT320" s="123"/>
      <c r="BU320" s="123"/>
      <c r="BV320" s="123"/>
      <c r="BW320" s="123"/>
      <c r="BX320" s="123"/>
      <c r="BY320" s="123"/>
      <c r="BZ320" s="123"/>
      <c r="CA320" s="123"/>
      <c r="CB320" s="123"/>
      <c r="CC320" s="123"/>
      <c r="CD320" s="123"/>
      <c r="CE320" s="123"/>
      <c r="CF320" s="123"/>
      <c r="CG320" s="123"/>
      <c r="CH320" s="123"/>
      <c r="CI320" s="123"/>
      <c r="CJ320" s="123"/>
      <c r="CK320" s="123"/>
      <c r="CL320" s="123"/>
      <c r="CM320" s="123"/>
      <c r="CN320" s="123"/>
      <c r="CO320" s="123"/>
      <c r="CP320" s="123"/>
      <c r="CQ320" s="123"/>
      <c r="CR320" s="123"/>
      <c r="CS320" s="123"/>
      <c r="CT320" s="123"/>
      <c r="CU320" s="123"/>
      <c r="CV320" s="123"/>
      <c r="CW320" s="123"/>
      <c r="CX320" s="123"/>
    </row>
    <row r="321" spans="1:102" s="138" customFormat="1" ht="25.5" x14ac:dyDescent="0.25">
      <c r="A321" s="25"/>
      <c r="B321" s="686" t="s">
        <v>91</v>
      </c>
      <c r="C321" s="29" t="s">
        <v>31</v>
      </c>
      <c r="D321" s="493">
        <v>54.2</v>
      </c>
      <c r="E321" s="493">
        <v>48.7</v>
      </c>
      <c r="F321" s="204">
        <f t="shared" ref="F321:F352" si="2">IF((E321/D321*100)&gt;100,"100",E321/D321*100)</f>
        <v>89.852398523985244</v>
      </c>
      <c r="G321" s="32"/>
      <c r="H321" s="672" t="s">
        <v>1069</v>
      </c>
      <c r="I321" s="123"/>
      <c r="J321" s="123"/>
      <c r="K321" s="123"/>
      <c r="L321" s="123"/>
      <c r="M321" s="123"/>
      <c r="N321" s="123"/>
      <c r="O321" s="123"/>
      <c r="P321" s="123"/>
      <c r="Q321" s="123"/>
      <c r="R321" s="123"/>
      <c r="S321" s="123"/>
      <c r="T321" s="123"/>
      <c r="U321" s="123"/>
      <c r="V321" s="123"/>
      <c r="W321" s="123"/>
      <c r="X321" s="123"/>
      <c r="Y321" s="123"/>
      <c r="Z321" s="123"/>
      <c r="AA321" s="123"/>
      <c r="AB321" s="123"/>
      <c r="AC321" s="123"/>
      <c r="AD321" s="123"/>
      <c r="AE321" s="123"/>
      <c r="AF321" s="123"/>
      <c r="AG321" s="123"/>
      <c r="AH321" s="123"/>
      <c r="AI321" s="123"/>
      <c r="AJ321" s="123"/>
      <c r="AK321" s="123"/>
      <c r="AL321" s="123"/>
      <c r="AM321" s="123"/>
      <c r="AN321" s="123"/>
      <c r="AO321" s="123"/>
      <c r="AP321" s="123"/>
      <c r="AQ321" s="123"/>
      <c r="AR321" s="123"/>
      <c r="AS321" s="123"/>
      <c r="AT321" s="123"/>
      <c r="AU321" s="123"/>
      <c r="AV321" s="123"/>
      <c r="AW321" s="123"/>
      <c r="AX321" s="123"/>
      <c r="AY321" s="123"/>
      <c r="AZ321" s="123"/>
      <c r="BA321" s="123"/>
      <c r="BB321" s="123"/>
      <c r="BC321" s="123"/>
      <c r="BD321" s="123"/>
      <c r="BE321" s="123"/>
      <c r="BF321" s="123"/>
      <c r="BG321" s="123"/>
      <c r="BH321" s="123"/>
      <c r="BI321" s="123"/>
      <c r="BJ321" s="123"/>
      <c r="BK321" s="123"/>
      <c r="BL321" s="123"/>
      <c r="BM321" s="123"/>
      <c r="BN321" s="123"/>
      <c r="BO321" s="123"/>
      <c r="BP321" s="123"/>
      <c r="BQ321" s="123"/>
      <c r="BR321" s="123"/>
      <c r="BS321" s="123"/>
      <c r="BT321" s="123"/>
      <c r="BU321" s="123"/>
      <c r="BV321" s="123"/>
      <c r="BW321" s="123"/>
      <c r="BX321" s="123"/>
      <c r="BY321" s="123"/>
      <c r="BZ321" s="123"/>
      <c r="CA321" s="123"/>
      <c r="CB321" s="123"/>
      <c r="CC321" s="123"/>
      <c r="CD321" s="123"/>
      <c r="CE321" s="123"/>
      <c r="CF321" s="123"/>
      <c r="CG321" s="123"/>
      <c r="CH321" s="123"/>
      <c r="CI321" s="123"/>
      <c r="CJ321" s="123"/>
      <c r="CK321" s="123"/>
      <c r="CL321" s="123"/>
      <c r="CM321" s="123"/>
      <c r="CN321" s="123"/>
      <c r="CO321" s="123"/>
      <c r="CP321" s="123"/>
      <c r="CQ321" s="123"/>
      <c r="CR321" s="123"/>
      <c r="CS321" s="123"/>
      <c r="CT321" s="123"/>
      <c r="CU321" s="123"/>
      <c r="CV321" s="123"/>
      <c r="CW321" s="123"/>
      <c r="CX321" s="123"/>
    </row>
    <row r="322" spans="1:102" s="138" customFormat="1" x14ac:dyDescent="0.25">
      <c r="A322" s="25"/>
      <c r="B322" s="686" t="s">
        <v>92</v>
      </c>
      <c r="C322" s="29" t="s">
        <v>31</v>
      </c>
      <c r="D322" s="493">
        <v>54.9</v>
      </c>
      <c r="E322" s="493">
        <v>54</v>
      </c>
      <c r="F322" s="204">
        <f t="shared" si="2"/>
        <v>98.360655737704917</v>
      </c>
      <c r="G322" s="32"/>
      <c r="H322" s="672" t="s">
        <v>1070</v>
      </c>
      <c r="I322" s="123"/>
      <c r="J322" s="123"/>
      <c r="K322" s="123"/>
      <c r="L322" s="123"/>
      <c r="M322" s="123"/>
      <c r="N322" s="123"/>
      <c r="O322" s="123"/>
      <c r="P322" s="123"/>
      <c r="Q322" s="123"/>
      <c r="R322" s="123"/>
      <c r="S322" s="123"/>
      <c r="T322" s="123"/>
      <c r="U322" s="123"/>
      <c r="V322" s="123"/>
      <c r="W322" s="123"/>
      <c r="X322" s="123"/>
      <c r="Y322" s="123"/>
      <c r="Z322" s="123"/>
      <c r="AA322" s="123"/>
      <c r="AB322" s="123"/>
      <c r="AC322" s="123"/>
      <c r="AD322" s="123"/>
      <c r="AE322" s="123"/>
      <c r="AF322" s="123"/>
      <c r="AG322" s="123"/>
      <c r="AH322" s="123"/>
      <c r="AI322" s="123"/>
      <c r="AJ322" s="123"/>
      <c r="AK322" s="123"/>
      <c r="AL322" s="123"/>
      <c r="AM322" s="123"/>
      <c r="AN322" s="123"/>
      <c r="AO322" s="123"/>
      <c r="AP322" s="123"/>
      <c r="AQ322" s="123"/>
      <c r="AR322" s="123"/>
      <c r="AS322" s="123"/>
      <c r="AT322" s="123"/>
      <c r="AU322" s="123"/>
      <c r="AV322" s="123"/>
      <c r="AW322" s="123"/>
      <c r="AX322" s="123"/>
      <c r="AY322" s="123"/>
      <c r="AZ322" s="123"/>
      <c r="BA322" s="123"/>
      <c r="BB322" s="123"/>
      <c r="BC322" s="123"/>
      <c r="BD322" s="123"/>
      <c r="BE322" s="123"/>
      <c r="BF322" s="123"/>
      <c r="BG322" s="123"/>
      <c r="BH322" s="123"/>
      <c r="BI322" s="123"/>
      <c r="BJ322" s="123"/>
      <c r="BK322" s="123"/>
      <c r="BL322" s="123"/>
      <c r="BM322" s="123"/>
      <c r="BN322" s="123"/>
      <c r="BO322" s="123"/>
      <c r="BP322" s="123"/>
      <c r="BQ322" s="123"/>
      <c r="BR322" s="123"/>
      <c r="BS322" s="123"/>
      <c r="BT322" s="123"/>
      <c r="BU322" s="123"/>
      <c r="BV322" s="123"/>
      <c r="BW322" s="123"/>
      <c r="BX322" s="123"/>
      <c r="BY322" s="123"/>
      <c r="BZ322" s="123"/>
      <c r="CA322" s="123"/>
      <c r="CB322" s="123"/>
      <c r="CC322" s="123"/>
      <c r="CD322" s="123"/>
      <c r="CE322" s="123"/>
      <c r="CF322" s="123"/>
      <c r="CG322" s="123"/>
      <c r="CH322" s="123"/>
      <c r="CI322" s="123"/>
      <c r="CJ322" s="123"/>
      <c r="CK322" s="123"/>
      <c r="CL322" s="123"/>
      <c r="CM322" s="123"/>
      <c r="CN322" s="123"/>
      <c r="CO322" s="123"/>
      <c r="CP322" s="123"/>
      <c r="CQ322" s="123"/>
      <c r="CR322" s="123"/>
      <c r="CS322" s="123"/>
      <c r="CT322" s="123"/>
      <c r="CU322" s="123"/>
      <c r="CV322" s="123"/>
      <c r="CW322" s="123"/>
      <c r="CX322" s="123"/>
    </row>
    <row r="323" spans="1:102" s="138" customFormat="1" x14ac:dyDescent="0.25">
      <c r="A323" s="25"/>
      <c r="B323" s="686" t="s">
        <v>93</v>
      </c>
      <c r="C323" s="29" t="s">
        <v>94</v>
      </c>
      <c r="D323" s="493">
        <v>3.6</v>
      </c>
      <c r="E323" s="493">
        <v>3.5</v>
      </c>
      <c r="F323" s="204">
        <f t="shared" si="2"/>
        <v>97.222222222222214</v>
      </c>
      <c r="G323" s="32"/>
      <c r="H323" s="672"/>
      <c r="I323" s="123"/>
      <c r="J323" s="123"/>
      <c r="K323" s="123"/>
      <c r="L323" s="123"/>
      <c r="M323" s="123"/>
      <c r="N323" s="123"/>
      <c r="O323" s="123"/>
      <c r="P323" s="123"/>
      <c r="Q323" s="123"/>
      <c r="R323" s="123"/>
      <c r="S323" s="123"/>
      <c r="T323" s="123"/>
      <c r="U323" s="123"/>
      <c r="V323" s="123"/>
      <c r="W323" s="123"/>
      <c r="X323" s="123"/>
      <c r="Y323" s="123"/>
      <c r="Z323" s="123"/>
      <c r="AA323" s="123"/>
      <c r="AB323" s="123"/>
      <c r="AC323" s="123"/>
      <c r="AD323" s="123"/>
      <c r="AE323" s="123"/>
      <c r="AF323" s="123"/>
      <c r="AG323" s="123"/>
      <c r="AH323" s="123"/>
      <c r="AI323" s="123"/>
      <c r="AJ323" s="123"/>
      <c r="AK323" s="123"/>
      <c r="AL323" s="123"/>
      <c r="AM323" s="123"/>
      <c r="AN323" s="123"/>
      <c r="AO323" s="123"/>
      <c r="AP323" s="123"/>
      <c r="AQ323" s="123"/>
      <c r="AR323" s="123"/>
      <c r="AS323" s="123"/>
      <c r="AT323" s="123"/>
      <c r="AU323" s="123"/>
      <c r="AV323" s="123"/>
      <c r="AW323" s="123"/>
      <c r="AX323" s="123"/>
      <c r="AY323" s="123"/>
      <c r="AZ323" s="123"/>
      <c r="BA323" s="123"/>
      <c r="BB323" s="123"/>
      <c r="BC323" s="123"/>
      <c r="BD323" s="123"/>
      <c r="BE323" s="123"/>
      <c r="BF323" s="123"/>
      <c r="BG323" s="123"/>
      <c r="BH323" s="123"/>
      <c r="BI323" s="123"/>
      <c r="BJ323" s="123"/>
      <c r="BK323" s="123"/>
      <c r="BL323" s="123"/>
      <c r="BM323" s="123"/>
      <c r="BN323" s="123"/>
      <c r="BO323" s="123"/>
      <c r="BP323" s="123"/>
      <c r="BQ323" s="123"/>
      <c r="BR323" s="123"/>
      <c r="BS323" s="123"/>
      <c r="BT323" s="123"/>
      <c r="BU323" s="123"/>
      <c r="BV323" s="123"/>
      <c r="BW323" s="123"/>
      <c r="BX323" s="123"/>
      <c r="BY323" s="123"/>
      <c r="BZ323" s="123"/>
      <c r="CA323" s="123"/>
      <c r="CB323" s="123"/>
      <c r="CC323" s="123"/>
      <c r="CD323" s="123"/>
      <c r="CE323" s="123"/>
      <c r="CF323" s="123"/>
      <c r="CG323" s="123"/>
      <c r="CH323" s="123"/>
      <c r="CI323" s="123"/>
      <c r="CJ323" s="123"/>
      <c r="CK323" s="123"/>
      <c r="CL323" s="123"/>
      <c r="CM323" s="123"/>
      <c r="CN323" s="123"/>
      <c r="CO323" s="123"/>
      <c r="CP323" s="123"/>
      <c r="CQ323" s="123"/>
      <c r="CR323" s="123"/>
      <c r="CS323" s="123"/>
      <c r="CT323" s="123"/>
      <c r="CU323" s="123"/>
      <c r="CV323" s="123"/>
      <c r="CW323" s="123"/>
      <c r="CX323" s="123"/>
    </row>
    <row r="324" spans="1:102" s="138" customFormat="1" ht="51" x14ac:dyDescent="0.25">
      <c r="A324" s="25"/>
      <c r="B324" s="686" t="s">
        <v>95</v>
      </c>
      <c r="C324" s="29" t="s">
        <v>39</v>
      </c>
      <c r="D324" s="493">
        <v>51</v>
      </c>
      <c r="E324" s="493">
        <v>38.6</v>
      </c>
      <c r="F324" s="204">
        <f t="shared" si="2"/>
        <v>75.686274509803923</v>
      </c>
      <c r="G324" s="32"/>
      <c r="H324" s="672" t="s">
        <v>1071</v>
      </c>
      <c r="I324" s="123"/>
      <c r="J324" s="123"/>
      <c r="K324" s="123"/>
      <c r="L324" s="123"/>
      <c r="M324" s="123"/>
      <c r="N324" s="123"/>
      <c r="O324" s="123"/>
      <c r="P324" s="123"/>
      <c r="Q324" s="123"/>
      <c r="R324" s="123"/>
      <c r="S324" s="123"/>
      <c r="T324" s="123"/>
      <c r="U324" s="123"/>
      <c r="V324" s="123"/>
      <c r="W324" s="123"/>
      <c r="X324" s="123"/>
      <c r="Y324" s="123"/>
      <c r="Z324" s="123"/>
      <c r="AA324" s="123"/>
      <c r="AB324" s="123"/>
      <c r="AC324" s="123"/>
      <c r="AD324" s="123"/>
      <c r="AE324" s="123"/>
      <c r="AF324" s="123"/>
      <c r="AG324" s="123"/>
      <c r="AH324" s="123"/>
      <c r="AI324" s="123"/>
      <c r="AJ324" s="123"/>
      <c r="AK324" s="123"/>
      <c r="AL324" s="123"/>
      <c r="AM324" s="123"/>
      <c r="AN324" s="123"/>
      <c r="AO324" s="123"/>
      <c r="AP324" s="123"/>
      <c r="AQ324" s="123"/>
      <c r="AR324" s="123"/>
      <c r="AS324" s="123"/>
      <c r="AT324" s="123"/>
      <c r="AU324" s="123"/>
      <c r="AV324" s="123"/>
      <c r="AW324" s="123"/>
      <c r="AX324" s="123"/>
      <c r="AY324" s="123"/>
      <c r="AZ324" s="123"/>
      <c r="BA324" s="123"/>
      <c r="BB324" s="123"/>
      <c r="BC324" s="123"/>
      <c r="BD324" s="123"/>
      <c r="BE324" s="123"/>
      <c r="BF324" s="123"/>
      <c r="BG324" s="123"/>
      <c r="BH324" s="123"/>
      <c r="BI324" s="123"/>
      <c r="BJ324" s="123"/>
      <c r="BK324" s="123"/>
      <c r="BL324" s="123"/>
      <c r="BM324" s="123"/>
      <c r="BN324" s="123"/>
      <c r="BO324" s="123"/>
      <c r="BP324" s="123"/>
      <c r="BQ324" s="123"/>
      <c r="BR324" s="123"/>
      <c r="BS324" s="123"/>
      <c r="BT324" s="123"/>
      <c r="BU324" s="123"/>
      <c r="BV324" s="123"/>
      <c r="BW324" s="123"/>
      <c r="BX324" s="123"/>
      <c r="BY324" s="123"/>
      <c r="BZ324" s="123"/>
      <c r="CA324" s="123"/>
      <c r="CB324" s="123"/>
      <c r="CC324" s="123"/>
      <c r="CD324" s="123"/>
      <c r="CE324" s="123"/>
      <c r="CF324" s="123"/>
      <c r="CG324" s="123"/>
      <c r="CH324" s="123"/>
      <c r="CI324" s="123"/>
      <c r="CJ324" s="123"/>
      <c r="CK324" s="123"/>
      <c r="CL324" s="123"/>
      <c r="CM324" s="123"/>
      <c r="CN324" s="123"/>
      <c r="CO324" s="123"/>
      <c r="CP324" s="123"/>
      <c r="CQ324" s="123"/>
      <c r="CR324" s="123"/>
      <c r="CS324" s="123"/>
      <c r="CT324" s="123"/>
      <c r="CU324" s="123"/>
      <c r="CV324" s="123"/>
      <c r="CW324" s="123"/>
      <c r="CX324" s="123"/>
    </row>
    <row r="325" spans="1:102" s="138" customFormat="1" ht="31.5" x14ac:dyDescent="0.25">
      <c r="A325" s="25"/>
      <c r="B325" s="686" t="s">
        <v>96</v>
      </c>
      <c r="C325" s="29" t="s">
        <v>39</v>
      </c>
      <c r="D325" s="493">
        <v>10</v>
      </c>
      <c r="E325" s="493">
        <v>32</v>
      </c>
      <c r="F325" s="204" t="str">
        <f t="shared" si="2"/>
        <v>100</v>
      </c>
      <c r="G325" s="32"/>
      <c r="H325" s="672" t="s">
        <v>1072</v>
      </c>
      <c r="I325" s="123"/>
      <c r="J325" s="123"/>
      <c r="L325" s="123"/>
      <c r="M325" s="123"/>
      <c r="N325" s="123"/>
      <c r="O325" s="123"/>
      <c r="P325" s="123"/>
      <c r="Q325" s="123"/>
      <c r="R325" s="123"/>
      <c r="S325" s="123"/>
      <c r="T325" s="123"/>
      <c r="U325" s="123"/>
      <c r="V325" s="123"/>
      <c r="W325" s="123"/>
      <c r="X325" s="123"/>
      <c r="Y325" s="123"/>
      <c r="Z325" s="123"/>
      <c r="AA325" s="123"/>
      <c r="AB325" s="123"/>
      <c r="AC325" s="123"/>
      <c r="AD325" s="123"/>
      <c r="AE325" s="123"/>
      <c r="AF325" s="123"/>
      <c r="AG325" s="123"/>
      <c r="AH325" s="123"/>
      <c r="AI325" s="123"/>
      <c r="AJ325" s="123"/>
      <c r="AK325" s="123"/>
      <c r="AL325" s="123"/>
      <c r="AM325" s="123"/>
      <c r="AN325" s="123"/>
      <c r="AO325" s="123"/>
      <c r="AP325" s="123"/>
      <c r="AQ325" s="123"/>
      <c r="AR325" s="123"/>
      <c r="AS325" s="123"/>
      <c r="AT325" s="123"/>
      <c r="AU325" s="123"/>
      <c r="AV325" s="123"/>
      <c r="AW325" s="123"/>
      <c r="AX325" s="123"/>
      <c r="AY325" s="123"/>
      <c r="AZ325" s="123"/>
      <c r="BA325" s="123"/>
      <c r="BB325" s="123"/>
      <c r="BC325" s="123"/>
      <c r="BD325" s="123"/>
      <c r="BE325" s="123"/>
      <c r="BF325" s="123"/>
      <c r="BG325" s="123"/>
      <c r="BH325" s="123"/>
      <c r="BI325" s="123"/>
      <c r="BJ325" s="123"/>
      <c r="BK325" s="123"/>
      <c r="BL325" s="123"/>
      <c r="BM325" s="123"/>
      <c r="BN325" s="123"/>
      <c r="BO325" s="123"/>
      <c r="BP325" s="123"/>
      <c r="BQ325" s="123"/>
      <c r="BR325" s="123"/>
      <c r="BS325" s="123"/>
      <c r="BT325" s="123"/>
      <c r="BU325" s="123"/>
      <c r="BV325" s="123"/>
      <c r="BW325" s="123"/>
      <c r="BX325" s="123"/>
      <c r="BY325" s="123"/>
      <c r="BZ325" s="123"/>
      <c r="CA325" s="123"/>
      <c r="CB325" s="123"/>
      <c r="CC325" s="123"/>
      <c r="CD325" s="123"/>
      <c r="CE325" s="123"/>
      <c r="CF325" s="123"/>
      <c r="CG325" s="123"/>
      <c r="CH325" s="123"/>
      <c r="CI325" s="123"/>
      <c r="CJ325" s="123"/>
      <c r="CK325" s="123"/>
      <c r="CL325" s="123"/>
      <c r="CM325" s="123"/>
      <c r="CN325" s="123"/>
      <c r="CO325" s="123"/>
      <c r="CP325" s="123"/>
      <c r="CQ325" s="123"/>
      <c r="CR325" s="123"/>
      <c r="CS325" s="123"/>
      <c r="CT325" s="123"/>
      <c r="CU325" s="123"/>
      <c r="CV325" s="123"/>
      <c r="CW325" s="123"/>
      <c r="CX325" s="123"/>
    </row>
    <row r="326" spans="1:102" s="138" customFormat="1" ht="31.5" x14ac:dyDescent="0.25">
      <c r="A326" s="25"/>
      <c r="B326" s="686" t="s">
        <v>97</v>
      </c>
      <c r="C326" s="29" t="s">
        <v>39</v>
      </c>
      <c r="D326" s="493">
        <v>31</v>
      </c>
      <c r="E326" s="493">
        <v>40.200000000000003</v>
      </c>
      <c r="F326" s="204" t="str">
        <f t="shared" si="2"/>
        <v>100</v>
      </c>
      <c r="G326" s="32"/>
      <c r="H326" s="672" t="s">
        <v>1073</v>
      </c>
      <c r="I326" s="123"/>
      <c r="J326" s="123"/>
      <c r="L326" s="123"/>
      <c r="M326" s="123"/>
      <c r="N326" s="123"/>
      <c r="O326" s="123"/>
      <c r="P326" s="123"/>
      <c r="Q326" s="123"/>
      <c r="R326" s="123"/>
      <c r="S326" s="123"/>
      <c r="T326" s="123"/>
      <c r="U326" s="123"/>
      <c r="V326" s="123"/>
      <c r="W326" s="123"/>
      <c r="X326" s="123"/>
      <c r="Y326" s="123"/>
      <c r="Z326" s="123"/>
      <c r="AA326" s="123"/>
      <c r="AB326" s="123"/>
      <c r="AC326" s="123"/>
      <c r="AD326" s="123"/>
      <c r="AE326" s="123"/>
      <c r="AF326" s="123"/>
      <c r="AG326" s="123"/>
      <c r="AH326" s="123"/>
      <c r="AI326" s="123"/>
      <c r="AJ326" s="123"/>
      <c r="AK326" s="123"/>
      <c r="AL326" s="123"/>
      <c r="AM326" s="123"/>
      <c r="AN326" s="123"/>
      <c r="AO326" s="123"/>
      <c r="AP326" s="123"/>
      <c r="AQ326" s="123"/>
      <c r="AR326" s="123"/>
      <c r="AS326" s="123"/>
      <c r="AT326" s="123"/>
      <c r="AU326" s="123"/>
      <c r="AV326" s="123"/>
      <c r="AW326" s="123"/>
      <c r="AX326" s="123"/>
      <c r="AY326" s="123"/>
      <c r="AZ326" s="123"/>
      <c r="BA326" s="123"/>
      <c r="BB326" s="123"/>
      <c r="BC326" s="123"/>
      <c r="BD326" s="123"/>
      <c r="BE326" s="123"/>
      <c r="BF326" s="123"/>
      <c r="BG326" s="123"/>
      <c r="BH326" s="123"/>
      <c r="BI326" s="123"/>
      <c r="BJ326" s="123"/>
      <c r="BK326" s="123"/>
      <c r="BL326" s="123"/>
      <c r="BM326" s="123"/>
      <c r="BN326" s="123"/>
      <c r="BO326" s="123"/>
      <c r="BP326" s="123"/>
      <c r="BQ326" s="123"/>
      <c r="BR326" s="123"/>
      <c r="BS326" s="123"/>
      <c r="BT326" s="123"/>
      <c r="BU326" s="123"/>
      <c r="BV326" s="123"/>
      <c r="BW326" s="123"/>
      <c r="BX326" s="123"/>
      <c r="BY326" s="123"/>
      <c r="BZ326" s="123"/>
      <c r="CA326" s="123"/>
      <c r="CB326" s="123"/>
      <c r="CC326" s="123"/>
      <c r="CD326" s="123"/>
      <c r="CE326" s="123"/>
      <c r="CF326" s="123"/>
      <c r="CG326" s="123"/>
      <c r="CH326" s="123"/>
      <c r="CI326" s="123"/>
      <c r="CJ326" s="123"/>
      <c r="CK326" s="123"/>
      <c r="CL326" s="123"/>
      <c r="CM326" s="123"/>
      <c r="CN326" s="123"/>
      <c r="CO326" s="123"/>
      <c r="CP326" s="123"/>
      <c r="CQ326" s="123"/>
      <c r="CR326" s="123"/>
      <c r="CS326" s="123"/>
      <c r="CT326" s="123"/>
      <c r="CU326" s="123"/>
      <c r="CV326" s="123"/>
      <c r="CW326" s="123"/>
      <c r="CX326" s="123"/>
    </row>
    <row r="327" spans="1:102" s="138" customFormat="1" ht="31.5" x14ac:dyDescent="0.25">
      <c r="A327" s="25"/>
      <c r="B327" s="686" t="s">
        <v>98</v>
      </c>
      <c r="C327" s="29" t="s">
        <v>52</v>
      </c>
      <c r="D327" s="494">
        <v>21</v>
      </c>
      <c r="E327" s="494">
        <v>35</v>
      </c>
      <c r="F327" s="204" t="str">
        <f t="shared" si="2"/>
        <v>100</v>
      </c>
      <c r="G327" s="32"/>
      <c r="H327" s="673" t="s">
        <v>1074</v>
      </c>
      <c r="I327" s="123"/>
      <c r="J327" s="123"/>
      <c r="L327" s="123"/>
      <c r="M327" s="123"/>
      <c r="N327" s="123"/>
      <c r="O327" s="123"/>
      <c r="P327" s="123"/>
      <c r="Q327" s="123"/>
      <c r="R327" s="123"/>
      <c r="S327" s="123"/>
      <c r="T327" s="123"/>
      <c r="U327" s="123"/>
      <c r="V327" s="123"/>
      <c r="W327" s="123"/>
      <c r="X327" s="123"/>
      <c r="Y327" s="123"/>
      <c r="Z327" s="123"/>
      <c r="AA327" s="123"/>
      <c r="AB327" s="123"/>
      <c r="AC327" s="123"/>
      <c r="AD327" s="123"/>
      <c r="AE327" s="123"/>
      <c r="AF327" s="123"/>
      <c r="AG327" s="123"/>
      <c r="AH327" s="123"/>
      <c r="AI327" s="123"/>
      <c r="AJ327" s="123"/>
      <c r="AK327" s="123"/>
      <c r="AL327" s="123"/>
      <c r="AM327" s="123"/>
      <c r="AN327" s="123"/>
      <c r="AO327" s="123"/>
      <c r="AP327" s="123"/>
      <c r="AQ327" s="123"/>
      <c r="AR327" s="123"/>
      <c r="AS327" s="123"/>
      <c r="AT327" s="123"/>
      <c r="AU327" s="123"/>
      <c r="AV327" s="123"/>
      <c r="AW327" s="123"/>
      <c r="AX327" s="123"/>
      <c r="AY327" s="123"/>
      <c r="AZ327" s="123"/>
      <c r="BA327" s="123"/>
      <c r="BB327" s="123"/>
      <c r="BC327" s="123"/>
      <c r="BD327" s="123"/>
      <c r="BE327" s="123"/>
      <c r="BF327" s="123"/>
      <c r="BG327" s="123"/>
      <c r="BH327" s="123"/>
      <c r="BI327" s="123"/>
      <c r="BJ327" s="123"/>
      <c r="BK327" s="123"/>
      <c r="BL327" s="123"/>
      <c r="BM327" s="123"/>
      <c r="BN327" s="123"/>
      <c r="BO327" s="123"/>
      <c r="BP327" s="123"/>
      <c r="BQ327" s="123"/>
      <c r="BR327" s="123"/>
      <c r="BS327" s="123"/>
      <c r="BT327" s="123"/>
      <c r="BU327" s="123"/>
      <c r="BV327" s="123"/>
      <c r="BW327" s="123"/>
      <c r="BX327" s="123"/>
      <c r="BY327" s="123"/>
      <c r="BZ327" s="123"/>
      <c r="CA327" s="123"/>
      <c r="CB327" s="123"/>
      <c r="CC327" s="123"/>
      <c r="CD327" s="123"/>
      <c r="CE327" s="123"/>
      <c r="CF327" s="123"/>
      <c r="CG327" s="123"/>
      <c r="CH327" s="123"/>
      <c r="CI327" s="123"/>
      <c r="CJ327" s="123"/>
      <c r="CK327" s="123"/>
      <c r="CL327" s="123"/>
      <c r="CM327" s="123"/>
      <c r="CN327" s="123"/>
      <c r="CO327" s="123"/>
      <c r="CP327" s="123"/>
      <c r="CQ327" s="123"/>
      <c r="CR327" s="123"/>
      <c r="CS327" s="123"/>
      <c r="CT327" s="123"/>
      <c r="CU327" s="123"/>
      <c r="CV327" s="123"/>
      <c r="CW327" s="123"/>
      <c r="CX327" s="123"/>
    </row>
    <row r="328" spans="1:102" s="138" customFormat="1" ht="31.5" x14ac:dyDescent="0.25">
      <c r="A328" s="25"/>
      <c r="B328" s="686" t="s">
        <v>99</v>
      </c>
      <c r="C328" s="29" t="s">
        <v>52</v>
      </c>
      <c r="D328" s="494">
        <v>6</v>
      </c>
      <c r="E328" s="494">
        <v>5</v>
      </c>
      <c r="F328" s="204">
        <f t="shared" si="2"/>
        <v>83.333333333333343</v>
      </c>
      <c r="G328" s="32"/>
      <c r="H328" s="673" t="s">
        <v>1075</v>
      </c>
      <c r="I328" s="123"/>
      <c r="J328" s="123"/>
      <c r="K328" s="123"/>
      <c r="L328" s="123"/>
      <c r="M328" s="123"/>
      <c r="N328" s="123"/>
      <c r="O328" s="123"/>
      <c r="P328" s="123"/>
      <c r="Q328" s="123"/>
      <c r="R328" s="123"/>
      <c r="S328" s="123"/>
      <c r="T328" s="123"/>
      <c r="U328" s="123"/>
      <c r="V328" s="123"/>
      <c r="W328" s="123"/>
      <c r="X328" s="123"/>
      <c r="Y328" s="123"/>
      <c r="Z328" s="123"/>
      <c r="AA328" s="123"/>
      <c r="AB328" s="123"/>
      <c r="AC328" s="123"/>
      <c r="AD328" s="123"/>
      <c r="AE328" s="123"/>
      <c r="AF328" s="123"/>
      <c r="AG328" s="123"/>
      <c r="AH328" s="123"/>
      <c r="AI328" s="123"/>
      <c r="AJ328" s="123"/>
      <c r="AK328" s="123"/>
      <c r="AL328" s="123"/>
      <c r="AM328" s="123"/>
      <c r="AN328" s="123"/>
      <c r="AO328" s="123"/>
      <c r="AP328" s="123"/>
      <c r="AQ328" s="123"/>
      <c r="AR328" s="123"/>
      <c r="AS328" s="123"/>
      <c r="AT328" s="123"/>
      <c r="AU328" s="123"/>
      <c r="AV328" s="123"/>
      <c r="AW328" s="123"/>
      <c r="AX328" s="123"/>
      <c r="AY328" s="123"/>
      <c r="AZ328" s="123"/>
      <c r="BA328" s="123"/>
      <c r="BB328" s="123"/>
      <c r="BC328" s="123"/>
      <c r="BD328" s="123"/>
      <c r="BE328" s="123"/>
      <c r="BF328" s="123"/>
      <c r="BG328" s="123"/>
      <c r="BH328" s="123"/>
      <c r="BI328" s="123"/>
      <c r="BJ328" s="123"/>
      <c r="BK328" s="123"/>
      <c r="BL328" s="123"/>
      <c r="BM328" s="123"/>
      <c r="BN328" s="123"/>
      <c r="BO328" s="123"/>
      <c r="BP328" s="123"/>
      <c r="BQ328" s="123"/>
      <c r="BR328" s="123"/>
      <c r="BS328" s="123"/>
      <c r="BT328" s="123"/>
      <c r="BU328" s="123"/>
      <c r="BV328" s="123"/>
      <c r="BW328" s="123"/>
      <c r="BX328" s="123"/>
      <c r="BY328" s="123"/>
      <c r="BZ328" s="123"/>
      <c r="CA328" s="123"/>
      <c r="CB328" s="123"/>
      <c r="CC328" s="123"/>
      <c r="CD328" s="123"/>
      <c r="CE328" s="123"/>
      <c r="CF328" s="123"/>
      <c r="CG328" s="123"/>
      <c r="CH328" s="123"/>
      <c r="CI328" s="123"/>
      <c r="CJ328" s="123"/>
      <c r="CK328" s="123"/>
      <c r="CL328" s="123"/>
      <c r="CM328" s="123"/>
      <c r="CN328" s="123"/>
      <c r="CO328" s="123"/>
      <c r="CP328" s="123"/>
      <c r="CQ328" s="123"/>
      <c r="CR328" s="123"/>
      <c r="CS328" s="123"/>
      <c r="CT328" s="123"/>
      <c r="CU328" s="123"/>
      <c r="CV328" s="123"/>
      <c r="CW328" s="123"/>
      <c r="CX328" s="123"/>
    </row>
    <row r="329" spans="1:102" s="138" customFormat="1" ht="47.25" x14ac:dyDescent="0.25">
      <c r="A329" s="25"/>
      <c r="B329" s="686" t="s">
        <v>100</v>
      </c>
      <c r="C329" s="29" t="s">
        <v>69</v>
      </c>
      <c r="D329" s="494">
        <v>3</v>
      </c>
      <c r="E329" s="494">
        <v>7</v>
      </c>
      <c r="F329" s="204" t="str">
        <f t="shared" si="2"/>
        <v>100</v>
      </c>
      <c r="G329" s="32"/>
      <c r="H329" s="673" t="s">
        <v>1076</v>
      </c>
      <c r="I329" s="123"/>
      <c r="J329" s="123"/>
      <c r="L329" s="123"/>
      <c r="M329" s="123"/>
      <c r="N329" s="123"/>
      <c r="O329" s="123"/>
      <c r="P329" s="123"/>
      <c r="Q329" s="123"/>
      <c r="R329" s="123"/>
      <c r="S329" s="123"/>
      <c r="T329" s="123"/>
      <c r="U329" s="123"/>
      <c r="V329" s="123"/>
      <c r="W329" s="123"/>
      <c r="X329" s="123"/>
      <c r="Y329" s="123"/>
      <c r="Z329" s="123"/>
      <c r="AA329" s="123"/>
      <c r="AB329" s="123"/>
      <c r="AC329" s="123"/>
      <c r="AD329" s="123"/>
      <c r="AE329" s="123"/>
      <c r="AF329" s="123"/>
      <c r="AG329" s="123"/>
      <c r="AH329" s="123"/>
      <c r="AI329" s="123"/>
      <c r="AJ329" s="123"/>
      <c r="AK329" s="123"/>
      <c r="AL329" s="123"/>
      <c r="AM329" s="123"/>
      <c r="AN329" s="123"/>
      <c r="AO329" s="123"/>
      <c r="AP329" s="123"/>
      <c r="AQ329" s="123"/>
      <c r="AR329" s="123"/>
      <c r="AS329" s="123"/>
      <c r="AT329" s="123"/>
      <c r="AU329" s="123"/>
      <c r="AV329" s="123"/>
      <c r="AW329" s="123"/>
      <c r="AX329" s="123"/>
      <c r="AY329" s="123"/>
      <c r="AZ329" s="123"/>
      <c r="BA329" s="123"/>
      <c r="BB329" s="123"/>
      <c r="BC329" s="123"/>
      <c r="BD329" s="123"/>
      <c r="BE329" s="123"/>
      <c r="BF329" s="123"/>
      <c r="BG329" s="123"/>
      <c r="BH329" s="123"/>
      <c r="BI329" s="123"/>
      <c r="BJ329" s="123"/>
      <c r="BK329" s="123"/>
      <c r="BL329" s="123"/>
      <c r="BM329" s="123"/>
      <c r="BN329" s="123"/>
      <c r="BO329" s="123"/>
      <c r="BP329" s="123"/>
      <c r="BQ329" s="123"/>
      <c r="BR329" s="123"/>
      <c r="BS329" s="123"/>
      <c r="BT329" s="123"/>
      <c r="BU329" s="123"/>
      <c r="BV329" s="123"/>
      <c r="BW329" s="123"/>
      <c r="BX329" s="123"/>
      <c r="BY329" s="123"/>
      <c r="BZ329" s="123"/>
      <c r="CA329" s="123"/>
      <c r="CB329" s="123"/>
      <c r="CC329" s="123"/>
      <c r="CD329" s="123"/>
      <c r="CE329" s="123"/>
      <c r="CF329" s="123"/>
      <c r="CG329" s="123"/>
      <c r="CH329" s="123"/>
      <c r="CI329" s="123"/>
      <c r="CJ329" s="123"/>
      <c r="CK329" s="123"/>
      <c r="CL329" s="123"/>
      <c r="CM329" s="123"/>
      <c r="CN329" s="123"/>
      <c r="CO329" s="123"/>
      <c r="CP329" s="123"/>
      <c r="CQ329" s="123"/>
      <c r="CR329" s="123"/>
      <c r="CS329" s="123"/>
      <c r="CT329" s="123"/>
      <c r="CU329" s="123"/>
      <c r="CV329" s="123"/>
      <c r="CW329" s="123"/>
      <c r="CX329" s="123"/>
    </row>
    <row r="330" spans="1:102" s="138" customFormat="1" ht="31.5" x14ac:dyDescent="0.25">
      <c r="A330" s="25"/>
      <c r="B330" s="686" t="s">
        <v>101</v>
      </c>
      <c r="C330" s="29" t="s">
        <v>69</v>
      </c>
      <c r="D330" s="494">
        <v>4</v>
      </c>
      <c r="E330" s="494">
        <v>5</v>
      </c>
      <c r="F330" s="204" t="str">
        <f t="shared" si="2"/>
        <v>100</v>
      </c>
      <c r="G330" s="32"/>
      <c r="H330" s="673" t="s">
        <v>1077</v>
      </c>
      <c r="I330" s="123"/>
      <c r="J330" s="123"/>
      <c r="L330" s="123"/>
      <c r="M330" s="123"/>
      <c r="N330" s="123"/>
      <c r="O330" s="123"/>
      <c r="P330" s="123"/>
      <c r="Q330" s="123"/>
      <c r="R330" s="123"/>
      <c r="S330" s="123"/>
      <c r="T330" s="123"/>
      <c r="U330" s="123"/>
      <c r="V330" s="123"/>
      <c r="W330" s="123"/>
      <c r="X330" s="123"/>
      <c r="Y330" s="123"/>
      <c r="Z330" s="123"/>
      <c r="AA330" s="123"/>
      <c r="AB330" s="123"/>
      <c r="AC330" s="123"/>
      <c r="AD330" s="123"/>
      <c r="AE330" s="123"/>
      <c r="AF330" s="123"/>
      <c r="AG330" s="123"/>
      <c r="AH330" s="123"/>
      <c r="AI330" s="123"/>
      <c r="AJ330" s="123"/>
      <c r="AK330" s="123"/>
      <c r="AL330" s="123"/>
      <c r="AM330" s="123"/>
      <c r="AN330" s="123"/>
      <c r="AO330" s="123"/>
      <c r="AP330" s="123"/>
      <c r="AQ330" s="123"/>
      <c r="AR330" s="123"/>
      <c r="AS330" s="123"/>
      <c r="AT330" s="123"/>
      <c r="AU330" s="123"/>
      <c r="AV330" s="123"/>
      <c r="AW330" s="123"/>
      <c r="AX330" s="123"/>
      <c r="AY330" s="123"/>
      <c r="AZ330" s="123"/>
      <c r="BA330" s="123"/>
      <c r="BB330" s="123"/>
      <c r="BC330" s="123"/>
      <c r="BD330" s="123"/>
      <c r="BE330" s="123"/>
      <c r="BF330" s="123"/>
      <c r="BG330" s="123"/>
      <c r="BH330" s="123"/>
      <c r="BI330" s="123"/>
      <c r="BJ330" s="123"/>
      <c r="BK330" s="123"/>
      <c r="BL330" s="123"/>
      <c r="BM330" s="123"/>
      <c r="BN330" s="123"/>
      <c r="BO330" s="123"/>
      <c r="BP330" s="123"/>
      <c r="BQ330" s="123"/>
      <c r="BR330" s="123"/>
      <c r="BS330" s="123"/>
      <c r="BT330" s="123"/>
      <c r="BU330" s="123"/>
      <c r="BV330" s="123"/>
      <c r="BW330" s="123"/>
      <c r="BX330" s="123"/>
      <c r="BY330" s="123"/>
      <c r="BZ330" s="123"/>
      <c r="CA330" s="123"/>
      <c r="CB330" s="123"/>
      <c r="CC330" s="123"/>
      <c r="CD330" s="123"/>
      <c r="CE330" s="123"/>
      <c r="CF330" s="123"/>
      <c r="CG330" s="123"/>
      <c r="CH330" s="123"/>
      <c r="CI330" s="123"/>
      <c r="CJ330" s="123"/>
      <c r="CK330" s="123"/>
      <c r="CL330" s="123"/>
      <c r="CM330" s="123"/>
      <c r="CN330" s="123"/>
      <c r="CO330" s="123"/>
      <c r="CP330" s="123"/>
      <c r="CQ330" s="123"/>
      <c r="CR330" s="123"/>
      <c r="CS330" s="123"/>
      <c r="CT330" s="123"/>
      <c r="CU330" s="123"/>
      <c r="CV330" s="123"/>
      <c r="CW330" s="123"/>
      <c r="CX330" s="123"/>
    </row>
    <row r="331" spans="1:102" s="138" customFormat="1" ht="31.5" x14ac:dyDescent="0.25">
      <c r="A331" s="25"/>
      <c r="B331" s="686" t="s">
        <v>102</v>
      </c>
      <c r="C331" s="29" t="s">
        <v>69</v>
      </c>
      <c r="D331" s="494">
        <v>1</v>
      </c>
      <c r="E331" s="494">
        <v>1</v>
      </c>
      <c r="F331" s="204">
        <f t="shared" si="2"/>
        <v>100</v>
      </c>
      <c r="G331" s="32"/>
      <c r="H331" s="673" t="s">
        <v>1078</v>
      </c>
      <c r="I331" s="123"/>
      <c r="J331" s="123"/>
      <c r="L331" s="123"/>
      <c r="M331" s="123"/>
      <c r="N331" s="123"/>
      <c r="O331" s="123"/>
      <c r="P331" s="123"/>
      <c r="Q331" s="123"/>
      <c r="R331" s="123"/>
      <c r="S331" s="123"/>
      <c r="T331" s="123"/>
      <c r="U331" s="123"/>
      <c r="V331" s="123"/>
      <c r="W331" s="123"/>
      <c r="X331" s="123"/>
      <c r="Y331" s="123"/>
      <c r="Z331" s="123"/>
      <c r="AA331" s="123"/>
      <c r="AB331" s="123"/>
      <c r="AC331" s="123"/>
      <c r="AD331" s="123"/>
      <c r="AE331" s="123"/>
      <c r="AF331" s="123"/>
      <c r="AG331" s="123"/>
      <c r="AH331" s="123"/>
      <c r="AI331" s="123"/>
      <c r="AJ331" s="123"/>
      <c r="AK331" s="123"/>
      <c r="AL331" s="123"/>
      <c r="AM331" s="123"/>
      <c r="AN331" s="123"/>
      <c r="AO331" s="123"/>
      <c r="AP331" s="123"/>
      <c r="AQ331" s="123"/>
      <c r="AR331" s="123"/>
      <c r="AS331" s="123"/>
      <c r="AT331" s="123"/>
      <c r="AU331" s="123"/>
      <c r="AV331" s="123"/>
      <c r="AW331" s="123"/>
      <c r="AX331" s="123"/>
      <c r="AY331" s="123"/>
      <c r="AZ331" s="123"/>
      <c r="BA331" s="123"/>
      <c r="BB331" s="123"/>
      <c r="BC331" s="123"/>
      <c r="BD331" s="123"/>
      <c r="BE331" s="123"/>
      <c r="BF331" s="123"/>
      <c r="BG331" s="123"/>
      <c r="BH331" s="123"/>
      <c r="BI331" s="123"/>
      <c r="BJ331" s="123"/>
      <c r="BK331" s="123"/>
      <c r="BL331" s="123"/>
      <c r="BM331" s="123"/>
      <c r="BN331" s="123"/>
      <c r="BO331" s="123"/>
      <c r="BP331" s="123"/>
      <c r="BQ331" s="123"/>
      <c r="BR331" s="123"/>
      <c r="BS331" s="123"/>
      <c r="BT331" s="123"/>
      <c r="BU331" s="123"/>
      <c r="BV331" s="123"/>
      <c r="BW331" s="123"/>
      <c r="BX331" s="123"/>
      <c r="BY331" s="123"/>
      <c r="BZ331" s="123"/>
      <c r="CA331" s="123"/>
      <c r="CB331" s="123"/>
      <c r="CC331" s="123"/>
      <c r="CD331" s="123"/>
      <c r="CE331" s="123"/>
      <c r="CF331" s="123"/>
      <c r="CG331" s="123"/>
      <c r="CH331" s="123"/>
      <c r="CI331" s="123"/>
      <c r="CJ331" s="123"/>
      <c r="CK331" s="123"/>
      <c r="CL331" s="123"/>
      <c r="CM331" s="123"/>
      <c r="CN331" s="123"/>
      <c r="CO331" s="123"/>
      <c r="CP331" s="123"/>
      <c r="CQ331" s="123"/>
      <c r="CR331" s="123"/>
      <c r="CS331" s="123"/>
      <c r="CT331" s="123"/>
      <c r="CU331" s="123"/>
      <c r="CV331" s="123"/>
      <c r="CW331" s="123"/>
      <c r="CX331" s="123"/>
    </row>
    <row r="332" spans="1:102" s="138" customFormat="1" x14ac:dyDescent="0.25">
      <c r="A332" s="25"/>
      <c r="B332" s="686" t="s">
        <v>103</v>
      </c>
      <c r="C332" s="29" t="s">
        <v>69</v>
      </c>
      <c r="D332" s="494">
        <v>3</v>
      </c>
      <c r="E332" s="494">
        <v>2</v>
      </c>
      <c r="F332" s="204">
        <f t="shared" si="2"/>
        <v>66.666666666666657</v>
      </c>
      <c r="G332" s="32"/>
      <c r="H332" s="673" t="s">
        <v>1079</v>
      </c>
      <c r="I332" s="123"/>
      <c r="J332" s="123"/>
      <c r="K332" s="123"/>
      <c r="L332" s="123"/>
      <c r="M332" s="123"/>
      <c r="N332" s="123"/>
      <c r="O332" s="123"/>
      <c r="P332" s="123"/>
      <c r="Q332" s="123"/>
      <c r="R332" s="123"/>
      <c r="S332" s="123"/>
      <c r="T332" s="123"/>
      <c r="U332" s="123"/>
      <c r="V332" s="123"/>
      <c r="W332" s="123"/>
      <c r="X332" s="123"/>
      <c r="Y332" s="123"/>
      <c r="Z332" s="123"/>
      <c r="AA332" s="123"/>
      <c r="AB332" s="123"/>
      <c r="AC332" s="123"/>
      <c r="AD332" s="123"/>
      <c r="AE332" s="123"/>
      <c r="AF332" s="123"/>
      <c r="AG332" s="123"/>
      <c r="AH332" s="123"/>
      <c r="AI332" s="123"/>
      <c r="AJ332" s="123"/>
      <c r="AK332" s="123"/>
      <c r="AL332" s="123"/>
      <c r="AM332" s="123"/>
      <c r="AN332" s="123"/>
      <c r="AO332" s="123"/>
      <c r="AP332" s="123"/>
      <c r="AQ332" s="123"/>
      <c r="AR332" s="123"/>
      <c r="AS332" s="123"/>
      <c r="AT332" s="123"/>
      <c r="AU332" s="123"/>
      <c r="AV332" s="123"/>
      <c r="AW332" s="123"/>
      <c r="AX332" s="123"/>
      <c r="AY332" s="123"/>
      <c r="AZ332" s="123"/>
      <c r="BA332" s="123"/>
      <c r="BB332" s="123"/>
      <c r="BC332" s="123"/>
      <c r="BD332" s="123"/>
      <c r="BE332" s="123"/>
      <c r="BF332" s="123"/>
      <c r="BG332" s="123"/>
      <c r="BH332" s="123"/>
      <c r="BI332" s="123"/>
      <c r="BJ332" s="123"/>
      <c r="BK332" s="123"/>
      <c r="BL332" s="123"/>
      <c r="BM332" s="123"/>
      <c r="BN332" s="123"/>
      <c r="BO332" s="123"/>
      <c r="BP332" s="123"/>
      <c r="BQ332" s="123"/>
      <c r="BR332" s="123"/>
      <c r="BS332" s="123"/>
      <c r="BT332" s="123"/>
      <c r="BU332" s="123"/>
      <c r="BV332" s="123"/>
      <c r="BW332" s="123"/>
      <c r="BX332" s="123"/>
      <c r="BY332" s="123"/>
      <c r="BZ332" s="123"/>
      <c r="CA332" s="123"/>
      <c r="CB332" s="123"/>
      <c r="CC332" s="123"/>
      <c r="CD332" s="123"/>
      <c r="CE332" s="123"/>
      <c r="CF332" s="123"/>
      <c r="CG332" s="123"/>
      <c r="CH332" s="123"/>
      <c r="CI332" s="123"/>
      <c r="CJ332" s="123"/>
      <c r="CK332" s="123"/>
      <c r="CL332" s="123"/>
      <c r="CM332" s="123"/>
      <c r="CN332" s="123"/>
      <c r="CO332" s="123"/>
      <c r="CP332" s="123"/>
      <c r="CQ332" s="123"/>
      <c r="CR332" s="123"/>
      <c r="CS332" s="123"/>
      <c r="CT332" s="123"/>
      <c r="CU332" s="123"/>
      <c r="CV332" s="123"/>
      <c r="CW332" s="123"/>
      <c r="CX332" s="123"/>
    </row>
    <row r="333" spans="1:102" s="138" customFormat="1" ht="25.5" x14ac:dyDescent="0.25">
      <c r="A333" s="25"/>
      <c r="B333" s="686" t="s">
        <v>104</v>
      </c>
      <c r="C333" s="29" t="s">
        <v>69</v>
      </c>
      <c r="D333" s="494">
        <v>1</v>
      </c>
      <c r="E333" s="494">
        <v>2</v>
      </c>
      <c r="F333" s="204" t="str">
        <f t="shared" si="2"/>
        <v>100</v>
      </c>
      <c r="G333" s="32"/>
      <c r="H333" s="673" t="s">
        <v>1080</v>
      </c>
      <c r="I333" s="123"/>
      <c r="J333" s="123"/>
      <c r="L333" s="123"/>
      <c r="M333" s="123"/>
      <c r="N333" s="123"/>
      <c r="O333" s="123"/>
      <c r="P333" s="123"/>
      <c r="Q333" s="123"/>
      <c r="R333" s="123"/>
      <c r="S333" s="123"/>
      <c r="T333" s="123"/>
      <c r="U333" s="123"/>
      <c r="V333" s="123"/>
      <c r="W333" s="123"/>
      <c r="X333" s="123"/>
      <c r="Y333" s="123"/>
      <c r="Z333" s="123"/>
      <c r="AA333" s="123"/>
      <c r="AB333" s="123"/>
      <c r="AC333" s="123"/>
      <c r="AD333" s="123"/>
      <c r="AE333" s="123"/>
      <c r="AF333" s="123"/>
      <c r="AG333" s="123"/>
      <c r="AH333" s="123"/>
      <c r="AI333" s="123"/>
      <c r="AJ333" s="123"/>
      <c r="AK333" s="123"/>
      <c r="AL333" s="123"/>
      <c r="AM333" s="123"/>
      <c r="AN333" s="123"/>
      <c r="AO333" s="123"/>
      <c r="AP333" s="123"/>
      <c r="AQ333" s="123"/>
      <c r="AR333" s="123"/>
      <c r="AS333" s="123"/>
      <c r="AT333" s="123"/>
      <c r="AU333" s="123"/>
      <c r="AV333" s="123"/>
      <c r="AW333" s="123"/>
      <c r="AX333" s="123"/>
      <c r="AY333" s="123"/>
      <c r="AZ333" s="123"/>
      <c r="BA333" s="123"/>
      <c r="BB333" s="123"/>
      <c r="BC333" s="123"/>
      <c r="BD333" s="123"/>
      <c r="BE333" s="123"/>
      <c r="BF333" s="123"/>
      <c r="BG333" s="123"/>
      <c r="BH333" s="123"/>
      <c r="BI333" s="123"/>
      <c r="BJ333" s="123"/>
      <c r="BK333" s="123"/>
      <c r="BL333" s="123"/>
      <c r="BM333" s="123"/>
      <c r="BN333" s="123"/>
      <c r="BO333" s="123"/>
      <c r="BP333" s="123"/>
      <c r="BQ333" s="123"/>
      <c r="BR333" s="123"/>
      <c r="BS333" s="123"/>
      <c r="BT333" s="123"/>
      <c r="BU333" s="123"/>
      <c r="BV333" s="123"/>
      <c r="BW333" s="123"/>
      <c r="BX333" s="123"/>
      <c r="BY333" s="123"/>
      <c r="BZ333" s="123"/>
      <c r="CA333" s="123"/>
      <c r="CB333" s="123"/>
      <c r="CC333" s="123"/>
      <c r="CD333" s="123"/>
      <c r="CE333" s="123"/>
      <c r="CF333" s="123"/>
      <c r="CG333" s="123"/>
      <c r="CH333" s="123"/>
      <c r="CI333" s="123"/>
      <c r="CJ333" s="123"/>
      <c r="CK333" s="123"/>
      <c r="CL333" s="123"/>
      <c r="CM333" s="123"/>
      <c r="CN333" s="123"/>
      <c r="CO333" s="123"/>
      <c r="CP333" s="123"/>
      <c r="CQ333" s="123"/>
      <c r="CR333" s="123"/>
      <c r="CS333" s="123"/>
      <c r="CT333" s="123"/>
      <c r="CU333" s="123"/>
      <c r="CV333" s="123"/>
      <c r="CW333" s="123"/>
      <c r="CX333" s="123"/>
    </row>
    <row r="334" spans="1:102" s="138" customFormat="1" ht="47.25" x14ac:dyDescent="0.25">
      <c r="A334" s="25"/>
      <c r="B334" s="685" t="s">
        <v>105</v>
      </c>
      <c r="C334" s="29" t="s">
        <v>106</v>
      </c>
      <c r="D334" s="494">
        <v>3</v>
      </c>
      <c r="E334" s="494">
        <v>0</v>
      </c>
      <c r="F334" s="204">
        <f t="shared" si="2"/>
        <v>0</v>
      </c>
      <c r="G334" s="32"/>
      <c r="H334" s="673" t="s">
        <v>1091</v>
      </c>
      <c r="I334" s="123"/>
      <c r="J334" s="123"/>
      <c r="K334" s="23">
        <v>1</v>
      </c>
      <c r="L334" s="123"/>
      <c r="M334" s="123"/>
      <c r="N334" s="123"/>
      <c r="O334" s="123"/>
      <c r="P334" s="123"/>
      <c r="Q334" s="123"/>
      <c r="R334" s="123"/>
      <c r="S334" s="123"/>
      <c r="T334" s="123"/>
      <c r="U334" s="123"/>
      <c r="V334" s="123"/>
      <c r="W334" s="123"/>
      <c r="X334" s="123"/>
      <c r="Y334" s="123"/>
      <c r="Z334" s="123"/>
      <c r="AA334" s="123"/>
      <c r="AB334" s="123"/>
      <c r="AC334" s="123"/>
      <c r="AD334" s="123"/>
      <c r="AE334" s="123"/>
      <c r="AF334" s="123"/>
      <c r="AG334" s="123"/>
      <c r="AH334" s="123"/>
      <c r="AI334" s="123"/>
      <c r="AJ334" s="123"/>
      <c r="AK334" s="123"/>
      <c r="AL334" s="123"/>
      <c r="AM334" s="123"/>
      <c r="AN334" s="123"/>
      <c r="AO334" s="123"/>
      <c r="AP334" s="123"/>
      <c r="AQ334" s="123"/>
      <c r="AR334" s="123"/>
      <c r="AS334" s="123"/>
      <c r="AT334" s="123"/>
      <c r="AU334" s="123"/>
      <c r="AV334" s="123"/>
      <c r="AW334" s="123"/>
      <c r="AX334" s="123"/>
      <c r="AY334" s="123"/>
      <c r="AZ334" s="123"/>
      <c r="BA334" s="123"/>
      <c r="BB334" s="123"/>
      <c r="BC334" s="123"/>
      <c r="BD334" s="123"/>
      <c r="BE334" s="123"/>
      <c r="BF334" s="123"/>
      <c r="BG334" s="123"/>
      <c r="BH334" s="123"/>
      <c r="BI334" s="123"/>
      <c r="BJ334" s="123"/>
      <c r="BK334" s="123"/>
      <c r="BL334" s="123"/>
      <c r="BM334" s="123"/>
      <c r="BN334" s="123"/>
      <c r="BO334" s="123"/>
      <c r="BP334" s="123"/>
      <c r="BQ334" s="123"/>
      <c r="BR334" s="123"/>
      <c r="BS334" s="123"/>
      <c r="BT334" s="123"/>
      <c r="BU334" s="123"/>
      <c r="BV334" s="123"/>
      <c r="BW334" s="123"/>
      <c r="BX334" s="123"/>
      <c r="BY334" s="123"/>
      <c r="BZ334" s="123"/>
      <c r="CA334" s="123"/>
      <c r="CB334" s="123"/>
      <c r="CC334" s="123"/>
      <c r="CD334" s="123"/>
      <c r="CE334" s="123"/>
      <c r="CF334" s="123"/>
      <c r="CG334" s="123"/>
      <c r="CH334" s="123"/>
      <c r="CI334" s="123"/>
      <c r="CJ334" s="123"/>
      <c r="CK334" s="123"/>
      <c r="CL334" s="123"/>
      <c r="CM334" s="123"/>
      <c r="CN334" s="123"/>
      <c r="CO334" s="123"/>
      <c r="CP334" s="123"/>
      <c r="CQ334" s="123"/>
      <c r="CR334" s="123"/>
      <c r="CS334" s="123"/>
      <c r="CT334" s="123"/>
      <c r="CU334" s="123"/>
      <c r="CV334" s="123"/>
      <c r="CW334" s="123"/>
      <c r="CX334" s="123"/>
    </row>
    <row r="335" spans="1:102" s="138" customFormat="1" ht="47.25" x14ac:dyDescent="0.25">
      <c r="A335" s="25"/>
      <c r="B335" s="685" t="s">
        <v>107</v>
      </c>
      <c r="C335" s="29" t="s">
        <v>69</v>
      </c>
      <c r="D335" s="494">
        <v>2</v>
      </c>
      <c r="E335" s="494">
        <v>1</v>
      </c>
      <c r="F335" s="204">
        <f>IF((E335/D335*100)&gt;100,"100",E335/D335*100)</f>
        <v>50</v>
      </c>
      <c r="G335" s="32"/>
      <c r="H335" s="673" t="s">
        <v>1092</v>
      </c>
      <c r="I335" s="123"/>
      <c r="J335" s="123"/>
      <c r="K335" s="123"/>
      <c r="L335" s="123"/>
      <c r="M335" s="123"/>
      <c r="N335" s="123"/>
      <c r="O335" s="123"/>
      <c r="P335" s="123"/>
      <c r="Q335" s="123"/>
      <c r="R335" s="123"/>
      <c r="S335" s="123"/>
      <c r="T335" s="123"/>
      <c r="U335" s="123"/>
      <c r="V335" s="123"/>
      <c r="W335" s="123"/>
      <c r="X335" s="123"/>
      <c r="Y335" s="123"/>
      <c r="Z335" s="123"/>
      <c r="AA335" s="123"/>
      <c r="AB335" s="123"/>
      <c r="AC335" s="123"/>
      <c r="AD335" s="123"/>
      <c r="AE335" s="123"/>
      <c r="AF335" s="123"/>
      <c r="AG335" s="123"/>
      <c r="AH335" s="123"/>
      <c r="AI335" s="123"/>
      <c r="AJ335" s="123"/>
      <c r="AK335" s="123"/>
      <c r="AL335" s="123"/>
      <c r="AM335" s="123"/>
      <c r="AN335" s="123"/>
      <c r="AO335" s="123"/>
      <c r="AP335" s="123"/>
      <c r="AQ335" s="123"/>
      <c r="AR335" s="123"/>
      <c r="AS335" s="123"/>
      <c r="AT335" s="123"/>
      <c r="AU335" s="123"/>
      <c r="AV335" s="123"/>
      <c r="AW335" s="123"/>
      <c r="AX335" s="123"/>
      <c r="AY335" s="123"/>
      <c r="AZ335" s="123"/>
      <c r="BA335" s="123"/>
      <c r="BB335" s="123"/>
      <c r="BC335" s="123"/>
      <c r="BD335" s="123"/>
      <c r="BE335" s="123"/>
      <c r="BF335" s="123"/>
      <c r="BG335" s="123"/>
      <c r="BH335" s="123"/>
      <c r="BI335" s="123"/>
      <c r="BJ335" s="123"/>
      <c r="BK335" s="123"/>
      <c r="BL335" s="123"/>
      <c r="BM335" s="123"/>
      <c r="BN335" s="123"/>
      <c r="BO335" s="123"/>
      <c r="BP335" s="123"/>
      <c r="BQ335" s="123"/>
      <c r="BR335" s="123"/>
      <c r="BS335" s="123"/>
      <c r="BT335" s="123"/>
      <c r="BU335" s="123"/>
      <c r="BV335" s="123"/>
      <c r="BW335" s="123"/>
      <c r="BX335" s="123"/>
      <c r="BY335" s="123"/>
      <c r="BZ335" s="123"/>
      <c r="CA335" s="123"/>
      <c r="CB335" s="123"/>
      <c r="CC335" s="123"/>
      <c r="CD335" s="123"/>
      <c r="CE335" s="123"/>
      <c r="CF335" s="123"/>
      <c r="CG335" s="123"/>
      <c r="CH335" s="123"/>
      <c r="CI335" s="123"/>
      <c r="CJ335" s="123"/>
      <c r="CK335" s="123"/>
      <c r="CL335" s="123"/>
      <c r="CM335" s="123"/>
      <c r="CN335" s="123"/>
      <c r="CO335" s="123"/>
      <c r="CP335" s="123"/>
      <c r="CQ335" s="123"/>
      <c r="CR335" s="123"/>
      <c r="CS335" s="123"/>
      <c r="CT335" s="123"/>
      <c r="CU335" s="123"/>
      <c r="CV335" s="123"/>
      <c r="CW335" s="123"/>
      <c r="CX335" s="123"/>
    </row>
    <row r="336" spans="1:102" s="138" customFormat="1" x14ac:dyDescent="0.25">
      <c r="A336" s="25"/>
      <c r="B336" s="794" t="s">
        <v>108</v>
      </c>
      <c r="C336" s="794"/>
      <c r="D336" s="794"/>
      <c r="E336" s="794"/>
      <c r="F336" s="794"/>
      <c r="G336" s="32"/>
      <c r="H336" s="216"/>
      <c r="I336" s="123"/>
      <c r="J336" s="123"/>
      <c r="K336" s="123"/>
      <c r="L336" s="123"/>
      <c r="M336" s="123"/>
      <c r="N336" s="123"/>
      <c r="O336" s="123"/>
      <c r="P336" s="123"/>
      <c r="Q336" s="123"/>
      <c r="R336" s="123"/>
      <c r="S336" s="123"/>
      <c r="T336" s="123"/>
      <c r="U336" s="123"/>
      <c r="V336" s="123"/>
      <c r="W336" s="123"/>
      <c r="X336" s="123"/>
      <c r="Y336" s="123"/>
      <c r="Z336" s="123"/>
      <c r="AA336" s="123"/>
      <c r="AB336" s="123"/>
      <c r="AC336" s="123"/>
      <c r="AD336" s="123"/>
      <c r="AE336" s="123"/>
      <c r="AF336" s="123"/>
      <c r="AG336" s="123"/>
      <c r="AH336" s="123"/>
      <c r="AI336" s="123"/>
      <c r="AJ336" s="123"/>
      <c r="AK336" s="123"/>
      <c r="AL336" s="123"/>
      <c r="AM336" s="123"/>
      <c r="AN336" s="123"/>
      <c r="AO336" s="123"/>
      <c r="AP336" s="123"/>
      <c r="AQ336" s="123"/>
      <c r="AR336" s="123"/>
      <c r="AS336" s="123"/>
      <c r="AT336" s="123"/>
      <c r="AU336" s="123"/>
      <c r="AV336" s="123"/>
      <c r="AW336" s="123"/>
      <c r="AX336" s="123"/>
      <c r="AY336" s="123"/>
      <c r="AZ336" s="123"/>
      <c r="BA336" s="123"/>
      <c r="BB336" s="123"/>
      <c r="BC336" s="123"/>
      <c r="BD336" s="123"/>
      <c r="BE336" s="123"/>
      <c r="BF336" s="123"/>
      <c r="BG336" s="123"/>
      <c r="BH336" s="123"/>
      <c r="BI336" s="123"/>
      <c r="BJ336" s="123"/>
      <c r="BK336" s="123"/>
      <c r="BL336" s="123"/>
      <c r="BM336" s="123"/>
      <c r="BN336" s="123"/>
      <c r="BO336" s="123"/>
      <c r="BP336" s="123"/>
      <c r="BQ336" s="123"/>
      <c r="BR336" s="123"/>
      <c r="BS336" s="123"/>
      <c r="BT336" s="123"/>
      <c r="BU336" s="123"/>
      <c r="BV336" s="123"/>
      <c r="BW336" s="123"/>
      <c r="BX336" s="123"/>
      <c r="BY336" s="123"/>
      <c r="BZ336" s="123"/>
      <c r="CA336" s="123"/>
      <c r="CB336" s="123"/>
      <c r="CC336" s="123"/>
      <c r="CD336" s="123"/>
      <c r="CE336" s="123"/>
      <c r="CF336" s="123"/>
      <c r="CG336" s="123"/>
      <c r="CH336" s="123"/>
      <c r="CI336" s="123"/>
      <c r="CJ336" s="123"/>
      <c r="CK336" s="123"/>
      <c r="CL336" s="123"/>
      <c r="CM336" s="123"/>
      <c r="CN336" s="123"/>
      <c r="CO336" s="123"/>
      <c r="CP336" s="123"/>
      <c r="CQ336" s="123"/>
      <c r="CR336" s="123"/>
      <c r="CS336" s="123"/>
      <c r="CT336" s="123"/>
      <c r="CU336" s="123"/>
      <c r="CV336" s="123"/>
      <c r="CW336" s="123"/>
      <c r="CX336" s="123"/>
    </row>
    <row r="337" spans="1:102" s="138" customFormat="1" ht="51" x14ac:dyDescent="0.25">
      <c r="A337" s="25"/>
      <c r="B337" s="686" t="s">
        <v>109</v>
      </c>
      <c r="C337" s="29" t="s">
        <v>39</v>
      </c>
      <c r="D337" s="493">
        <v>23</v>
      </c>
      <c r="E337" s="493">
        <v>29.3</v>
      </c>
      <c r="F337" s="204">
        <f>D337/E337*100</f>
        <v>78.49829351535837</v>
      </c>
      <c r="G337" s="32"/>
      <c r="H337" s="674" t="s">
        <v>1088</v>
      </c>
      <c r="I337" s="123"/>
      <c r="J337" s="123"/>
      <c r="K337" s="123"/>
      <c r="L337" s="123"/>
      <c r="M337" s="123"/>
      <c r="N337" s="123"/>
      <c r="O337" s="123"/>
      <c r="P337" s="123"/>
      <c r="Q337" s="123"/>
      <c r="R337" s="123"/>
      <c r="S337" s="123"/>
      <c r="T337" s="123"/>
      <c r="U337" s="123"/>
      <c r="V337" s="123"/>
      <c r="W337" s="123"/>
      <c r="X337" s="123"/>
      <c r="Y337" s="123"/>
      <c r="Z337" s="123"/>
      <c r="AA337" s="123"/>
      <c r="AB337" s="123"/>
      <c r="AC337" s="123"/>
      <c r="AD337" s="123"/>
      <c r="AE337" s="123"/>
      <c r="AF337" s="123"/>
      <c r="AG337" s="123"/>
      <c r="AH337" s="123"/>
      <c r="AI337" s="123"/>
      <c r="AJ337" s="123"/>
      <c r="AK337" s="123"/>
      <c r="AL337" s="123"/>
      <c r="AM337" s="123"/>
      <c r="AN337" s="123"/>
      <c r="AO337" s="123"/>
      <c r="AP337" s="123"/>
      <c r="AQ337" s="123"/>
      <c r="AR337" s="123"/>
      <c r="AS337" s="123"/>
      <c r="AT337" s="123"/>
      <c r="AU337" s="123"/>
      <c r="AV337" s="123"/>
      <c r="AW337" s="123"/>
      <c r="AX337" s="123"/>
      <c r="AY337" s="123"/>
      <c r="AZ337" s="123"/>
      <c r="BA337" s="123"/>
      <c r="BB337" s="123"/>
      <c r="BC337" s="123"/>
      <c r="BD337" s="123"/>
      <c r="BE337" s="123"/>
      <c r="BF337" s="123"/>
      <c r="BG337" s="123"/>
      <c r="BH337" s="123"/>
      <c r="BI337" s="123"/>
      <c r="BJ337" s="123"/>
      <c r="BK337" s="123"/>
      <c r="BL337" s="123"/>
      <c r="BM337" s="123"/>
      <c r="BN337" s="123"/>
      <c r="BO337" s="123"/>
      <c r="BP337" s="123"/>
      <c r="BQ337" s="123"/>
      <c r="BR337" s="123"/>
      <c r="BS337" s="123"/>
      <c r="BT337" s="123"/>
      <c r="BU337" s="123"/>
      <c r="BV337" s="123"/>
      <c r="BW337" s="123"/>
      <c r="BX337" s="123"/>
      <c r="BY337" s="123"/>
      <c r="BZ337" s="123"/>
      <c r="CA337" s="123"/>
      <c r="CB337" s="123"/>
      <c r="CC337" s="123"/>
      <c r="CD337" s="123"/>
      <c r="CE337" s="123"/>
      <c r="CF337" s="123"/>
      <c r="CG337" s="123"/>
      <c r="CH337" s="123"/>
      <c r="CI337" s="123"/>
      <c r="CJ337" s="123"/>
      <c r="CK337" s="123"/>
      <c r="CL337" s="123"/>
      <c r="CM337" s="123"/>
      <c r="CN337" s="123"/>
      <c r="CO337" s="123"/>
      <c r="CP337" s="123"/>
      <c r="CQ337" s="123"/>
      <c r="CR337" s="123"/>
      <c r="CS337" s="123"/>
      <c r="CT337" s="123"/>
      <c r="CU337" s="123"/>
      <c r="CV337" s="123"/>
      <c r="CW337" s="123"/>
      <c r="CX337" s="123"/>
    </row>
    <row r="338" spans="1:102" s="138" customFormat="1" ht="78.75" x14ac:dyDescent="0.25">
      <c r="A338" s="25"/>
      <c r="B338" s="686" t="s">
        <v>110</v>
      </c>
      <c r="C338" s="29" t="s">
        <v>39</v>
      </c>
      <c r="D338" s="493">
        <v>0</v>
      </c>
      <c r="E338" s="493">
        <v>66</v>
      </c>
      <c r="F338" s="33"/>
      <c r="G338" s="32"/>
      <c r="H338" s="675" t="s">
        <v>1089</v>
      </c>
      <c r="I338" s="123"/>
      <c r="J338" s="123"/>
      <c r="K338" s="123"/>
      <c r="L338" s="123"/>
      <c r="M338" s="123"/>
      <c r="N338" s="123"/>
      <c r="O338" s="123"/>
      <c r="P338" s="123"/>
      <c r="Q338" s="123"/>
      <c r="R338" s="123"/>
      <c r="S338" s="123"/>
      <c r="T338" s="123"/>
      <c r="U338" s="123"/>
      <c r="V338" s="123"/>
      <c r="W338" s="123"/>
      <c r="X338" s="123"/>
      <c r="Y338" s="123"/>
      <c r="Z338" s="123"/>
      <c r="AA338" s="123"/>
      <c r="AB338" s="123"/>
      <c r="AC338" s="123"/>
      <c r="AD338" s="123"/>
      <c r="AE338" s="123"/>
      <c r="AF338" s="123"/>
      <c r="AG338" s="123"/>
      <c r="AH338" s="123"/>
      <c r="AI338" s="123"/>
      <c r="AJ338" s="123"/>
      <c r="AK338" s="123"/>
      <c r="AL338" s="123"/>
      <c r="AM338" s="123"/>
      <c r="AN338" s="123"/>
      <c r="AO338" s="123"/>
      <c r="AP338" s="123"/>
      <c r="AQ338" s="123"/>
      <c r="AR338" s="123"/>
      <c r="AS338" s="123"/>
      <c r="AT338" s="123"/>
      <c r="AU338" s="123"/>
      <c r="AV338" s="123"/>
      <c r="AW338" s="123"/>
      <c r="AX338" s="123"/>
      <c r="AY338" s="123"/>
      <c r="AZ338" s="123"/>
      <c r="BA338" s="123"/>
      <c r="BB338" s="123"/>
      <c r="BC338" s="123"/>
      <c r="BD338" s="123"/>
      <c r="BE338" s="123"/>
      <c r="BF338" s="123"/>
      <c r="BG338" s="123"/>
      <c r="BH338" s="123"/>
      <c r="BI338" s="123"/>
      <c r="BJ338" s="123"/>
      <c r="BK338" s="123"/>
      <c r="BL338" s="123"/>
      <c r="BM338" s="123"/>
      <c r="BN338" s="123"/>
      <c r="BO338" s="123"/>
      <c r="BP338" s="123"/>
      <c r="BQ338" s="123"/>
      <c r="BR338" s="123"/>
      <c r="BS338" s="123"/>
      <c r="BT338" s="123"/>
      <c r="BU338" s="123"/>
      <c r="BV338" s="123"/>
      <c r="BW338" s="123"/>
      <c r="BX338" s="123"/>
      <c r="BY338" s="123"/>
      <c r="BZ338" s="123"/>
      <c r="CA338" s="123"/>
      <c r="CB338" s="123"/>
      <c r="CC338" s="123"/>
      <c r="CD338" s="123"/>
      <c r="CE338" s="123"/>
      <c r="CF338" s="123"/>
      <c r="CG338" s="123"/>
      <c r="CH338" s="123"/>
      <c r="CI338" s="123"/>
      <c r="CJ338" s="123"/>
      <c r="CK338" s="123"/>
      <c r="CL338" s="123"/>
      <c r="CM338" s="123"/>
      <c r="CN338" s="123"/>
      <c r="CO338" s="123"/>
      <c r="CP338" s="123"/>
      <c r="CQ338" s="123"/>
      <c r="CR338" s="123"/>
      <c r="CS338" s="123"/>
      <c r="CT338" s="123"/>
      <c r="CU338" s="123"/>
      <c r="CV338" s="123"/>
      <c r="CW338" s="123"/>
      <c r="CX338" s="123"/>
    </row>
    <row r="339" spans="1:102" s="138" customFormat="1" ht="38.25" x14ac:dyDescent="0.25">
      <c r="A339" s="25"/>
      <c r="B339" s="683" t="s">
        <v>111</v>
      </c>
      <c r="C339" s="29" t="s">
        <v>39</v>
      </c>
      <c r="D339" s="493">
        <v>1.8</v>
      </c>
      <c r="E339" s="493">
        <v>3</v>
      </c>
      <c r="F339" s="33">
        <f>D339/E339*100</f>
        <v>60</v>
      </c>
      <c r="G339" s="32"/>
      <c r="H339" s="674" t="s">
        <v>1090</v>
      </c>
      <c r="I339" s="123"/>
      <c r="J339" s="123"/>
      <c r="K339" s="123"/>
      <c r="L339" s="123"/>
      <c r="M339" s="123"/>
      <c r="N339" s="123"/>
      <c r="O339" s="123"/>
      <c r="P339" s="123"/>
      <c r="Q339" s="123"/>
      <c r="R339" s="123"/>
      <c r="S339" s="123"/>
      <c r="T339" s="123"/>
      <c r="U339" s="123"/>
      <c r="V339" s="123"/>
      <c r="W339" s="123"/>
      <c r="X339" s="123"/>
      <c r="Y339" s="123"/>
      <c r="Z339" s="123"/>
      <c r="AA339" s="123"/>
      <c r="AB339" s="123"/>
      <c r="AC339" s="123"/>
      <c r="AD339" s="123"/>
      <c r="AE339" s="123"/>
      <c r="AF339" s="123"/>
      <c r="AG339" s="123"/>
      <c r="AH339" s="123"/>
      <c r="AI339" s="123"/>
      <c r="AJ339" s="123"/>
      <c r="AK339" s="123"/>
      <c r="AL339" s="123"/>
      <c r="AM339" s="123"/>
      <c r="AN339" s="123"/>
      <c r="AO339" s="123"/>
      <c r="AP339" s="123"/>
      <c r="AQ339" s="123"/>
      <c r="AR339" s="123"/>
      <c r="AS339" s="123"/>
      <c r="AT339" s="123"/>
      <c r="AU339" s="123"/>
      <c r="AV339" s="123"/>
      <c r="AW339" s="123"/>
      <c r="AX339" s="123"/>
      <c r="AY339" s="123"/>
      <c r="AZ339" s="123"/>
      <c r="BA339" s="123"/>
      <c r="BB339" s="123"/>
      <c r="BC339" s="123"/>
      <c r="BD339" s="123"/>
      <c r="BE339" s="123"/>
      <c r="BF339" s="123"/>
      <c r="BG339" s="123"/>
      <c r="BH339" s="123"/>
      <c r="BI339" s="123"/>
      <c r="BJ339" s="123"/>
      <c r="BK339" s="123"/>
      <c r="BL339" s="123"/>
      <c r="BM339" s="123"/>
      <c r="BN339" s="123"/>
      <c r="BO339" s="123"/>
      <c r="BP339" s="123"/>
      <c r="BQ339" s="123"/>
      <c r="BR339" s="123"/>
      <c r="BS339" s="123"/>
      <c r="BT339" s="123"/>
      <c r="BU339" s="123"/>
      <c r="BV339" s="123"/>
      <c r="BW339" s="123"/>
      <c r="BX339" s="123"/>
      <c r="BY339" s="123"/>
      <c r="BZ339" s="123"/>
      <c r="CA339" s="123"/>
      <c r="CB339" s="123"/>
      <c r="CC339" s="123"/>
      <c r="CD339" s="123"/>
      <c r="CE339" s="123"/>
      <c r="CF339" s="123"/>
      <c r="CG339" s="123"/>
      <c r="CH339" s="123"/>
      <c r="CI339" s="123"/>
      <c r="CJ339" s="123"/>
      <c r="CK339" s="123"/>
      <c r="CL339" s="123"/>
      <c r="CM339" s="123"/>
      <c r="CN339" s="123"/>
      <c r="CO339" s="123"/>
      <c r="CP339" s="123"/>
      <c r="CQ339" s="123"/>
      <c r="CR339" s="123"/>
      <c r="CS339" s="123"/>
      <c r="CT339" s="123"/>
      <c r="CU339" s="123"/>
      <c r="CV339" s="123"/>
      <c r="CW339" s="123"/>
      <c r="CX339" s="123"/>
    </row>
    <row r="340" spans="1:102" s="138" customFormat="1" x14ac:dyDescent="0.25">
      <c r="A340" s="25"/>
      <c r="B340" s="794" t="s">
        <v>327</v>
      </c>
      <c r="C340" s="794"/>
      <c r="D340" s="794"/>
      <c r="E340" s="794"/>
      <c r="F340" s="794"/>
      <c r="G340" s="32"/>
      <c r="H340" s="216"/>
      <c r="I340" s="123"/>
      <c r="J340" s="123"/>
      <c r="K340" s="123"/>
      <c r="L340" s="123"/>
      <c r="M340" s="123"/>
      <c r="N340" s="123"/>
      <c r="O340" s="123"/>
      <c r="P340" s="123"/>
      <c r="Q340" s="123"/>
      <c r="R340" s="123"/>
      <c r="S340" s="123"/>
      <c r="T340" s="123"/>
      <c r="U340" s="123"/>
      <c r="V340" s="123"/>
      <c r="W340" s="123"/>
      <c r="X340" s="123"/>
      <c r="Y340" s="123"/>
      <c r="Z340" s="123"/>
      <c r="AA340" s="123"/>
      <c r="AB340" s="123"/>
      <c r="AC340" s="123"/>
      <c r="AD340" s="123"/>
      <c r="AE340" s="123"/>
      <c r="AF340" s="123"/>
      <c r="AG340" s="123"/>
      <c r="AH340" s="123"/>
      <c r="AI340" s="123"/>
      <c r="AJ340" s="123"/>
      <c r="AK340" s="123"/>
      <c r="AL340" s="123"/>
      <c r="AM340" s="123"/>
      <c r="AN340" s="123"/>
      <c r="AO340" s="123"/>
      <c r="AP340" s="123"/>
      <c r="AQ340" s="123"/>
      <c r="AR340" s="123"/>
      <c r="AS340" s="123"/>
      <c r="AT340" s="123"/>
      <c r="AU340" s="123"/>
      <c r="AV340" s="123"/>
      <c r="AW340" s="123"/>
      <c r="AX340" s="123"/>
      <c r="AY340" s="123"/>
      <c r="AZ340" s="123"/>
      <c r="BA340" s="123"/>
      <c r="BB340" s="123"/>
      <c r="BC340" s="123"/>
      <c r="BD340" s="123"/>
      <c r="BE340" s="123"/>
      <c r="BF340" s="123"/>
      <c r="BG340" s="123"/>
      <c r="BH340" s="123"/>
      <c r="BI340" s="123"/>
      <c r="BJ340" s="123"/>
      <c r="BK340" s="123"/>
      <c r="BL340" s="123"/>
      <c r="BM340" s="123"/>
      <c r="BN340" s="123"/>
      <c r="BO340" s="123"/>
      <c r="BP340" s="123"/>
      <c r="BQ340" s="123"/>
      <c r="BR340" s="123"/>
      <c r="BS340" s="123"/>
      <c r="BT340" s="123"/>
      <c r="BU340" s="123"/>
      <c r="BV340" s="123"/>
      <c r="BW340" s="123"/>
      <c r="BX340" s="123"/>
      <c r="BY340" s="123"/>
      <c r="BZ340" s="123"/>
      <c r="CA340" s="123"/>
      <c r="CB340" s="123"/>
      <c r="CC340" s="123"/>
      <c r="CD340" s="123"/>
      <c r="CE340" s="123"/>
      <c r="CF340" s="123"/>
      <c r="CG340" s="123"/>
      <c r="CH340" s="123"/>
      <c r="CI340" s="123"/>
      <c r="CJ340" s="123"/>
      <c r="CK340" s="123"/>
      <c r="CL340" s="123"/>
      <c r="CM340" s="123"/>
      <c r="CN340" s="123"/>
      <c r="CO340" s="123"/>
      <c r="CP340" s="123"/>
      <c r="CQ340" s="123"/>
      <c r="CR340" s="123"/>
      <c r="CS340" s="123"/>
      <c r="CT340" s="123"/>
      <c r="CU340" s="123"/>
      <c r="CV340" s="123"/>
      <c r="CW340" s="123"/>
      <c r="CX340" s="123"/>
    </row>
    <row r="341" spans="1:102" s="138" customFormat="1" ht="76.5" x14ac:dyDescent="0.25">
      <c r="A341" s="25"/>
      <c r="B341" s="685" t="s">
        <v>112</v>
      </c>
      <c r="C341" s="29" t="s">
        <v>39</v>
      </c>
      <c r="D341" s="493">
        <v>30</v>
      </c>
      <c r="E341" s="493">
        <v>31</v>
      </c>
      <c r="F341" s="33" t="str">
        <f t="shared" si="2"/>
        <v>100</v>
      </c>
      <c r="G341" s="32"/>
      <c r="H341" s="676" t="s">
        <v>1086</v>
      </c>
      <c r="I341" s="123"/>
      <c r="J341" s="123"/>
      <c r="L341" s="123"/>
      <c r="M341" s="123"/>
      <c r="N341" s="123"/>
      <c r="O341" s="123"/>
      <c r="P341" s="123"/>
      <c r="Q341" s="123"/>
      <c r="R341" s="123"/>
      <c r="S341" s="123"/>
      <c r="T341" s="123"/>
      <c r="U341" s="123"/>
      <c r="V341" s="123"/>
      <c r="W341" s="123"/>
      <c r="X341" s="123"/>
      <c r="Y341" s="123"/>
      <c r="Z341" s="123"/>
      <c r="AA341" s="123"/>
      <c r="AB341" s="123"/>
      <c r="AC341" s="123"/>
      <c r="AD341" s="123"/>
      <c r="AE341" s="123"/>
      <c r="AF341" s="123"/>
      <c r="AG341" s="123"/>
      <c r="AH341" s="123"/>
      <c r="AI341" s="123"/>
      <c r="AJ341" s="123"/>
      <c r="AK341" s="123"/>
      <c r="AL341" s="123"/>
      <c r="AM341" s="123"/>
      <c r="AN341" s="123"/>
      <c r="AO341" s="123"/>
      <c r="AP341" s="123"/>
      <c r="AQ341" s="123"/>
      <c r="AR341" s="123"/>
      <c r="AS341" s="123"/>
      <c r="AT341" s="123"/>
      <c r="AU341" s="123"/>
      <c r="AV341" s="123"/>
      <c r="AW341" s="123"/>
      <c r="AX341" s="123"/>
      <c r="AY341" s="123"/>
      <c r="AZ341" s="123"/>
      <c r="BA341" s="123"/>
      <c r="BB341" s="123"/>
      <c r="BC341" s="123"/>
      <c r="BD341" s="123"/>
      <c r="BE341" s="123"/>
      <c r="BF341" s="123"/>
      <c r="BG341" s="123"/>
      <c r="BH341" s="123"/>
      <c r="BI341" s="123"/>
      <c r="BJ341" s="123"/>
      <c r="BK341" s="123"/>
      <c r="BL341" s="123"/>
      <c r="BM341" s="123"/>
      <c r="BN341" s="123"/>
      <c r="BO341" s="123"/>
      <c r="BP341" s="123"/>
      <c r="BQ341" s="123"/>
      <c r="BR341" s="123"/>
      <c r="BS341" s="123"/>
      <c r="BT341" s="123"/>
      <c r="BU341" s="123"/>
      <c r="BV341" s="123"/>
      <c r="BW341" s="123"/>
      <c r="BX341" s="123"/>
      <c r="BY341" s="123"/>
      <c r="BZ341" s="123"/>
      <c r="CA341" s="123"/>
      <c r="CB341" s="123"/>
      <c r="CC341" s="123"/>
      <c r="CD341" s="123"/>
      <c r="CE341" s="123"/>
      <c r="CF341" s="123"/>
      <c r="CG341" s="123"/>
      <c r="CH341" s="123"/>
      <c r="CI341" s="123"/>
      <c r="CJ341" s="123"/>
      <c r="CK341" s="123"/>
      <c r="CL341" s="123"/>
      <c r="CM341" s="123"/>
      <c r="CN341" s="123"/>
      <c r="CO341" s="123"/>
      <c r="CP341" s="123"/>
      <c r="CQ341" s="123"/>
      <c r="CR341" s="123"/>
      <c r="CS341" s="123"/>
      <c r="CT341" s="123"/>
      <c r="CU341" s="123"/>
      <c r="CV341" s="123"/>
      <c r="CW341" s="123"/>
      <c r="CX341" s="123"/>
    </row>
    <row r="342" spans="1:102" s="138" customFormat="1" ht="31.5" x14ac:dyDescent="0.25">
      <c r="A342" s="25"/>
      <c r="B342" s="686" t="s">
        <v>113</v>
      </c>
      <c r="C342" s="29" t="s">
        <v>39</v>
      </c>
      <c r="D342" s="493">
        <v>15</v>
      </c>
      <c r="E342" s="493">
        <v>26</v>
      </c>
      <c r="F342" s="33" t="str">
        <f t="shared" si="2"/>
        <v>100</v>
      </c>
      <c r="G342" s="32"/>
      <c r="H342" s="676" t="s">
        <v>1087</v>
      </c>
      <c r="I342" s="123"/>
      <c r="J342" s="123"/>
      <c r="L342" s="123"/>
      <c r="M342" s="123"/>
      <c r="N342" s="123"/>
      <c r="O342" s="123"/>
      <c r="P342" s="123"/>
      <c r="Q342" s="123"/>
      <c r="R342" s="123"/>
      <c r="S342" s="123"/>
      <c r="T342" s="123"/>
      <c r="U342" s="123"/>
      <c r="V342" s="123"/>
      <c r="W342" s="123"/>
      <c r="X342" s="123"/>
      <c r="Y342" s="123"/>
      <c r="Z342" s="123"/>
      <c r="AA342" s="123"/>
      <c r="AB342" s="123"/>
      <c r="AC342" s="123"/>
      <c r="AD342" s="123"/>
      <c r="AE342" s="123"/>
      <c r="AF342" s="123"/>
      <c r="AG342" s="123"/>
      <c r="AH342" s="123"/>
      <c r="AI342" s="123"/>
      <c r="AJ342" s="123"/>
      <c r="AK342" s="123"/>
      <c r="AL342" s="123"/>
      <c r="AM342" s="123"/>
      <c r="AN342" s="123"/>
      <c r="AO342" s="123"/>
      <c r="AP342" s="123"/>
      <c r="AQ342" s="123"/>
      <c r="AR342" s="123"/>
      <c r="AS342" s="123"/>
      <c r="AT342" s="123"/>
      <c r="AU342" s="123"/>
      <c r="AV342" s="123"/>
      <c r="AW342" s="123"/>
      <c r="AX342" s="123"/>
      <c r="AY342" s="123"/>
      <c r="AZ342" s="123"/>
      <c r="BA342" s="123"/>
      <c r="BB342" s="123"/>
      <c r="BC342" s="123"/>
      <c r="BD342" s="123"/>
      <c r="BE342" s="123"/>
      <c r="BF342" s="123"/>
      <c r="BG342" s="123"/>
      <c r="BH342" s="123"/>
      <c r="BI342" s="123"/>
      <c r="BJ342" s="123"/>
      <c r="BK342" s="123"/>
      <c r="BL342" s="123"/>
      <c r="BM342" s="123"/>
      <c r="BN342" s="123"/>
      <c r="BO342" s="123"/>
      <c r="BP342" s="123"/>
      <c r="BQ342" s="123"/>
      <c r="BR342" s="123"/>
      <c r="BS342" s="123"/>
      <c r="BT342" s="123"/>
      <c r="BU342" s="123"/>
      <c r="BV342" s="123"/>
      <c r="BW342" s="123"/>
      <c r="BX342" s="123"/>
      <c r="BY342" s="123"/>
      <c r="BZ342" s="123"/>
      <c r="CA342" s="123"/>
      <c r="CB342" s="123"/>
      <c r="CC342" s="123"/>
      <c r="CD342" s="123"/>
      <c r="CE342" s="123"/>
      <c r="CF342" s="123"/>
      <c r="CG342" s="123"/>
      <c r="CH342" s="123"/>
      <c r="CI342" s="123"/>
      <c r="CJ342" s="123"/>
      <c r="CK342" s="123"/>
      <c r="CL342" s="123"/>
      <c r="CM342" s="123"/>
      <c r="CN342" s="123"/>
      <c r="CO342" s="123"/>
      <c r="CP342" s="123"/>
      <c r="CQ342" s="123"/>
      <c r="CR342" s="123"/>
      <c r="CS342" s="123"/>
      <c r="CT342" s="123"/>
      <c r="CU342" s="123"/>
      <c r="CV342" s="123"/>
      <c r="CW342" s="123"/>
      <c r="CX342" s="123"/>
    </row>
    <row r="343" spans="1:102" s="138" customFormat="1" x14ac:dyDescent="0.25">
      <c r="A343" s="25"/>
      <c r="B343" s="794" t="s">
        <v>114</v>
      </c>
      <c r="C343" s="794"/>
      <c r="D343" s="794"/>
      <c r="E343" s="794"/>
      <c r="F343" s="794"/>
      <c r="G343" s="32"/>
      <c r="H343" s="216"/>
      <c r="I343" s="123"/>
      <c r="J343" s="123"/>
      <c r="K343" s="123"/>
      <c r="L343" s="123"/>
      <c r="M343" s="123"/>
      <c r="N343" s="123"/>
      <c r="O343" s="123"/>
      <c r="P343" s="123"/>
      <c r="Q343" s="123"/>
      <c r="R343" s="123"/>
      <c r="S343" s="123"/>
      <c r="T343" s="123"/>
      <c r="U343" s="123"/>
      <c r="V343" s="123"/>
      <c r="W343" s="123"/>
      <c r="X343" s="123"/>
      <c r="Y343" s="123"/>
      <c r="Z343" s="123"/>
      <c r="AA343" s="123"/>
      <c r="AB343" s="123"/>
      <c r="AC343" s="123"/>
      <c r="AD343" s="123"/>
      <c r="AE343" s="123"/>
      <c r="AF343" s="123"/>
      <c r="AG343" s="123"/>
      <c r="AH343" s="123"/>
      <c r="AI343" s="123"/>
      <c r="AJ343" s="123"/>
      <c r="AK343" s="123"/>
      <c r="AL343" s="123"/>
      <c r="AM343" s="123"/>
      <c r="AN343" s="123"/>
      <c r="AO343" s="123"/>
      <c r="AP343" s="123"/>
      <c r="AQ343" s="123"/>
      <c r="AR343" s="123"/>
      <c r="AS343" s="123"/>
      <c r="AT343" s="123"/>
      <c r="AU343" s="123"/>
      <c r="AV343" s="123"/>
      <c r="AW343" s="123"/>
      <c r="AX343" s="123"/>
      <c r="AY343" s="123"/>
      <c r="AZ343" s="123"/>
      <c r="BA343" s="123"/>
      <c r="BB343" s="123"/>
      <c r="BC343" s="123"/>
      <c r="BD343" s="123"/>
      <c r="BE343" s="123"/>
      <c r="BF343" s="123"/>
      <c r="BG343" s="123"/>
      <c r="BH343" s="123"/>
      <c r="BI343" s="123"/>
      <c r="BJ343" s="123"/>
      <c r="BK343" s="123"/>
      <c r="BL343" s="123"/>
      <c r="BM343" s="123"/>
      <c r="BN343" s="123"/>
      <c r="BO343" s="123"/>
      <c r="BP343" s="123"/>
      <c r="BQ343" s="123"/>
      <c r="BR343" s="123"/>
      <c r="BS343" s="123"/>
      <c r="BT343" s="123"/>
      <c r="BU343" s="123"/>
      <c r="BV343" s="123"/>
      <c r="BW343" s="123"/>
      <c r="BX343" s="123"/>
      <c r="BY343" s="123"/>
      <c r="BZ343" s="123"/>
      <c r="CA343" s="123"/>
      <c r="CB343" s="123"/>
      <c r="CC343" s="123"/>
      <c r="CD343" s="123"/>
      <c r="CE343" s="123"/>
      <c r="CF343" s="123"/>
      <c r="CG343" s="123"/>
      <c r="CH343" s="123"/>
      <c r="CI343" s="123"/>
      <c r="CJ343" s="123"/>
      <c r="CK343" s="123"/>
      <c r="CL343" s="123"/>
      <c r="CM343" s="123"/>
      <c r="CN343" s="123"/>
      <c r="CO343" s="123"/>
      <c r="CP343" s="123"/>
      <c r="CQ343" s="123"/>
      <c r="CR343" s="123"/>
      <c r="CS343" s="123"/>
      <c r="CT343" s="123"/>
      <c r="CU343" s="123"/>
      <c r="CV343" s="123"/>
      <c r="CW343" s="123"/>
      <c r="CX343" s="123"/>
    </row>
    <row r="344" spans="1:102" s="138" customFormat="1" ht="31.5" x14ac:dyDescent="0.25">
      <c r="A344" s="25"/>
      <c r="B344" s="686" t="s">
        <v>115</v>
      </c>
      <c r="C344" s="29" t="s">
        <v>39</v>
      </c>
      <c r="D344" s="493">
        <v>23</v>
      </c>
      <c r="E344" s="493">
        <v>27.3</v>
      </c>
      <c r="F344" s="33" t="str">
        <f t="shared" si="2"/>
        <v>100</v>
      </c>
      <c r="G344" s="32"/>
      <c r="H344" s="672" t="s">
        <v>1083</v>
      </c>
      <c r="I344" s="123"/>
      <c r="J344" s="123"/>
      <c r="L344" s="123"/>
      <c r="M344" s="123"/>
      <c r="N344" s="123"/>
      <c r="O344" s="123"/>
      <c r="P344" s="123"/>
      <c r="Q344" s="123"/>
      <c r="R344" s="123"/>
      <c r="S344" s="123"/>
      <c r="T344" s="123"/>
      <c r="U344" s="123"/>
      <c r="V344" s="123"/>
      <c r="W344" s="123"/>
      <c r="X344" s="123"/>
      <c r="Y344" s="123"/>
      <c r="Z344" s="123"/>
      <c r="AA344" s="123"/>
      <c r="AB344" s="123"/>
      <c r="AC344" s="123"/>
      <c r="AD344" s="123"/>
      <c r="AE344" s="123"/>
      <c r="AF344" s="123"/>
      <c r="AG344" s="123"/>
      <c r="AH344" s="123"/>
      <c r="AI344" s="123"/>
      <c r="AJ344" s="123"/>
      <c r="AK344" s="123"/>
      <c r="AL344" s="123"/>
      <c r="AM344" s="123"/>
      <c r="AN344" s="123"/>
      <c r="AO344" s="123"/>
      <c r="AP344" s="123"/>
      <c r="AQ344" s="123"/>
      <c r="AR344" s="123"/>
      <c r="AS344" s="123"/>
      <c r="AT344" s="123"/>
      <c r="AU344" s="123"/>
      <c r="AV344" s="123"/>
      <c r="AW344" s="123"/>
      <c r="AX344" s="123"/>
      <c r="AY344" s="123"/>
      <c r="AZ344" s="123"/>
      <c r="BA344" s="123"/>
      <c r="BB344" s="123"/>
      <c r="BC344" s="123"/>
      <c r="BD344" s="123"/>
      <c r="BE344" s="123"/>
      <c r="BF344" s="123"/>
      <c r="BG344" s="123"/>
      <c r="BH344" s="123"/>
      <c r="BI344" s="123"/>
      <c r="BJ344" s="123"/>
      <c r="BK344" s="123"/>
      <c r="BL344" s="123"/>
      <c r="BM344" s="123"/>
      <c r="BN344" s="123"/>
      <c r="BO344" s="123"/>
      <c r="BP344" s="123"/>
      <c r="BQ344" s="123"/>
      <c r="BR344" s="123"/>
      <c r="BS344" s="123"/>
      <c r="BT344" s="123"/>
      <c r="BU344" s="123"/>
      <c r="BV344" s="123"/>
      <c r="BW344" s="123"/>
      <c r="BX344" s="123"/>
      <c r="BY344" s="123"/>
      <c r="BZ344" s="123"/>
      <c r="CA344" s="123"/>
      <c r="CB344" s="123"/>
      <c r="CC344" s="123"/>
      <c r="CD344" s="123"/>
      <c r="CE344" s="123"/>
      <c r="CF344" s="123"/>
      <c r="CG344" s="123"/>
      <c r="CH344" s="123"/>
      <c r="CI344" s="123"/>
      <c r="CJ344" s="123"/>
      <c r="CK344" s="123"/>
      <c r="CL344" s="123"/>
      <c r="CM344" s="123"/>
      <c r="CN344" s="123"/>
      <c r="CO344" s="123"/>
      <c r="CP344" s="123"/>
      <c r="CQ344" s="123"/>
      <c r="CR344" s="123"/>
      <c r="CS344" s="123"/>
      <c r="CT344" s="123"/>
      <c r="CU344" s="123"/>
      <c r="CV344" s="123"/>
      <c r="CW344" s="123"/>
      <c r="CX344" s="123"/>
    </row>
    <row r="345" spans="1:102" s="138" customFormat="1" ht="47.25" x14ac:dyDescent="0.25">
      <c r="A345" s="25"/>
      <c r="B345" s="686" t="s">
        <v>116</v>
      </c>
      <c r="C345" s="29" t="s">
        <v>39</v>
      </c>
      <c r="D345" s="493">
        <v>20</v>
      </c>
      <c r="E345" s="493">
        <v>27.3</v>
      </c>
      <c r="F345" s="33" t="str">
        <f t="shared" si="2"/>
        <v>100</v>
      </c>
      <c r="G345" s="32"/>
      <c r="H345" s="672" t="s">
        <v>1084</v>
      </c>
      <c r="I345" s="123"/>
      <c r="J345" s="123"/>
      <c r="L345" s="123"/>
      <c r="M345" s="123"/>
      <c r="N345" s="123"/>
      <c r="O345" s="123"/>
      <c r="P345" s="123"/>
      <c r="Q345" s="123"/>
      <c r="R345" s="123"/>
      <c r="S345" s="123"/>
      <c r="T345" s="123"/>
      <c r="U345" s="123"/>
      <c r="V345" s="123"/>
      <c r="W345" s="123"/>
      <c r="X345" s="123"/>
      <c r="Y345" s="123"/>
      <c r="Z345" s="123"/>
      <c r="AA345" s="123"/>
      <c r="AB345" s="123"/>
      <c r="AC345" s="123"/>
      <c r="AD345" s="123"/>
      <c r="AE345" s="123"/>
      <c r="AF345" s="123"/>
      <c r="AG345" s="123"/>
      <c r="AH345" s="123"/>
      <c r="AI345" s="123"/>
      <c r="AJ345" s="123"/>
      <c r="AK345" s="123"/>
      <c r="AL345" s="123"/>
      <c r="AM345" s="123"/>
      <c r="AN345" s="123"/>
      <c r="AO345" s="123"/>
      <c r="AP345" s="123"/>
      <c r="AQ345" s="123"/>
      <c r="AR345" s="123"/>
      <c r="AS345" s="123"/>
      <c r="AT345" s="123"/>
      <c r="AU345" s="123"/>
      <c r="AV345" s="123"/>
      <c r="AW345" s="123"/>
      <c r="AX345" s="123"/>
      <c r="AY345" s="123"/>
      <c r="AZ345" s="123"/>
      <c r="BA345" s="123"/>
      <c r="BB345" s="123"/>
      <c r="BC345" s="123"/>
      <c r="BD345" s="123"/>
      <c r="BE345" s="123"/>
      <c r="BF345" s="123"/>
      <c r="BG345" s="123"/>
      <c r="BH345" s="123"/>
      <c r="BI345" s="123"/>
      <c r="BJ345" s="123"/>
      <c r="BK345" s="123"/>
      <c r="BL345" s="123"/>
      <c r="BM345" s="123"/>
      <c r="BN345" s="123"/>
      <c r="BO345" s="123"/>
      <c r="BP345" s="123"/>
      <c r="BQ345" s="123"/>
      <c r="BR345" s="123"/>
      <c r="BS345" s="123"/>
      <c r="BT345" s="123"/>
      <c r="BU345" s="123"/>
      <c r="BV345" s="123"/>
      <c r="BW345" s="123"/>
      <c r="BX345" s="123"/>
      <c r="BY345" s="123"/>
      <c r="BZ345" s="123"/>
      <c r="CA345" s="123"/>
      <c r="CB345" s="123"/>
      <c r="CC345" s="123"/>
      <c r="CD345" s="123"/>
      <c r="CE345" s="123"/>
      <c r="CF345" s="123"/>
      <c r="CG345" s="123"/>
      <c r="CH345" s="123"/>
      <c r="CI345" s="123"/>
      <c r="CJ345" s="123"/>
      <c r="CK345" s="123"/>
      <c r="CL345" s="123"/>
      <c r="CM345" s="123"/>
      <c r="CN345" s="123"/>
      <c r="CO345" s="123"/>
      <c r="CP345" s="123"/>
      <c r="CQ345" s="123"/>
      <c r="CR345" s="123"/>
      <c r="CS345" s="123"/>
      <c r="CT345" s="123"/>
      <c r="CU345" s="123"/>
      <c r="CV345" s="123"/>
      <c r="CW345" s="123"/>
      <c r="CX345" s="123"/>
    </row>
    <row r="346" spans="1:102" s="138" customFormat="1" ht="47.25" x14ac:dyDescent="0.25">
      <c r="A346" s="25"/>
      <c r="B346" s="686" t="s">
        <v>117</v>
      </c>
      <c r="C346" s="29" t="s">
        <v>106</v>
      </c>
      <c r="D346" s="494">
        <v>2</v>
      </c>
      <c r="E346" s="494">
        <v>2</v>
      </c>
      <c r="F346" s="33">
        <f t="shared" si="2"/>
        <v>100</v>
      </c>
      <c r="G346" s="32"/>
      <c r="H346" s="673" t="s">
        <v>1085</v>
      </c>
      <c r="I346" s="123"/>
      <c r="J346" s="123"/>
      <c r="L346" s="123"/>
      <c r="M346" s="123"/>
      <c r="N346" s="123"/>
      <c r="O346" s="123"/>
      <c r="P346" s="123"/>
      <c r="Q346" s="123"/>
      <c r="R346" s="123"/>
      <c r="S346" s="123"/>
      <c r="T346" s="123"/>
      <c r="U346" s="123"/>
      <c r="V346" s="123"/>
      <c r="W346" s="123"/>
      <c r="X346" s="123"/>
      <c r="Y346" s="123"/>
      <c r="Z346" s="123"/>
      <c r="AA346" s="123"/>
      <c r="AB346" s="123"/>
      <c r="AC346" s="123"/>
      <c r="AD346" s="123"/>
      <c r="AE346" s="123"/>
      <c r="AF346" s="123"/>
      <c r="AG346" s="123"/>
      <c r="AH346" s="123"/>
      <c r="AI346" s="123"/>
      <c r="AJ346" s="123"/>
      <c r="AK346" s="123"/>
      <c r="AL346" s="123"/>
      <c r="AM346" s="123"/>
      <c r="AN346" s="123"/>
      <c r="AO346" s="123"/>
      <c r="AP346" s="123"/>
      <c r="AQ346" s="123"/>
      <c r="AR346" s="123"/>
      <c r="AS346" s="123"/>
      <c r="AT346" s="123"/>
      <c r="AU346" s="123"/>
      <c r="AV346" s="123"/>
      <c r="AW346" s="123"/>
      <c r="AX346" s="123"/>
      <c r="AY346" s="123"/>
      <c r="AZ346" s="123"/>
      <c r="BA346" s="123"/>
      <c r="BB346" s="123"/>
      <c r="BC346" s="123"/>
      <c r="BD346" s="123"/>
      <c r="BE346" s="123"/>
      <c r="BF346" s="123"/>
      <c r="BG346" s="123"/>
      <c r="BH346" s="123"/>
      <c r="BI346" s="123"/>
      <c r="BJ346" s="123"/>
      <c r="BK346" s="123"/>
      <c r="BL346" s="123"/>
      <c r="BM346" s="123"/>
      <c r="BN346" s="123"/>
      <c r="BO346" s="123"/>
      <c r="BP346" s="123"/>
      <c r="BQ346" s="123"/>
      <c r="BR346" s="123"/>
      <c r="BS346" s="123"/>
      <c r="BT346" s="123"/>
      <c r="BU346" s="123"/>
      <c r="BV346" s="123"/>
      <c r="BW346" s="123"/>
      <c r="BX346" s="123"/>
      <c r="BY346" s="123"/>
      <c r="BZ346" s="123"/>
      <c r="CA346" s="123"/>
      <c r="CB346" s="123"/>
      <c r="CC346" s="123"/>
      <c r="CD346" s="123"/>
      <c r="CE346" s="123"/>
      <c r="CF346" s="123"/>
      <c r="CG346" s="123"/>
      <c r="CH346" s="123"/>
      <c r="CI346" s="123"/>
      <c r="CJ346" s="123"/>
      <c r="CK346" s="123"/>
      <c r="CL346" s="123"/>
      <c r="CM346" s="123"/>
      <c r="CN346" s="123"/>
      <c r="CO346" s="123"/>
      <c r="CP346" s="123"/>
      <c r="CQ346" s="123"/>
      <c r="CR346" s="123"/>
      <c r="CS346" s="123"/>
      <c r="CT346" s="123"/>
      <c r="CU346" s="123"/>
      <c r="CV346" s="123"/>
      <c r="CW346" s="123"/>
      <c r="CX346" s="123"/>
    </row>
    <row r="347" spans="1:102" s="138" customFormat="1" x14ac:dyDescent="0.25">
      <c r="A347" s="25"/>
      <c r="B347" s="794" t="s">
        <v>328</v>
      </c>
      <c r="C347" s="794"/>
      <c r="D347" s="794"/>
      <c r="E347" s="794"/>
      <c r="F347" s="794"/>
      <c r="G347" s="32"/>
      <c r="H347" s="232"/>
      <c r="I347" s="123"/>
      <c r="J347" s="123"/>
      <c r="K347" s="123"/>
      <c r="L347" s="123"/>
      <c r="M347" s="123"/>
      <c r="N347" s="123"/>
      <c r="O347" s="123"/>
      <c r="P347" s="123"/>
      <c r="Q347" s="123"/>
      <c r="R347" s="123"/>
      <c r="S347" s="123"/>
      <c r="T347" s="123"/>
      <c r="U347" s="123"/>
      <c r="V347" s="123"/>
      <c r="W347" s="123"/>
      <c r="X347" s="123"/>
      <c r="Y347" s="123"/>
      <c r="Z347" s="123"/>
      <c r="AA347" s="123"/>
      <c r="AB347" s="123"/>
      <c r="AC347" s="123"/>
      <c r="AD347" s="123"/>
      <c r="AE347" s="123"/>
      <c r="AF347" s="123"/>
      <c r="AG347" s="123"/>
      <c r="AH347" s="123"/>
      <c r="AI347" s="123"/>
      <c r="AJ347" s="123"/>
      <c r="AK347" s="123"/>
      <c r="AL347" s="123"/>
      <c r="AM347" s="123"/>
      <c r="AN347" s="123"/>
      <c r="AO347" s="123"/>
      <c r="AP347" s="123"/>
      <c r="AQ347" s="123"/>
      <c r="AR347" s="123"/>
      <c r="AS347" s="123"/>
      <c r="AT347" s="123"/>
      <c r="AU347" s="123"/>
      <c r="AV347" s="123"/>
      <c r="AW347" s="123"/>
      <c r="AX347" s="123"/>
      <c r="AY347" s="123"/>
      <c r="AZ347" s="123"/>
      <c r="BA347" s="123"/>
      <c r="BB347" s="123"/>
      <c r="BC347" s="123"/>
      <c r="BD347" s="123"/>
      <c r="BE347" s="123"/>
      <c r="BF347" s="123"/>
      <c r="BG347" s="123"/>
      <c r="BH347" s="123"/>
      <c r="BI347" s="123"/>
      <c r="BJ347" s="123"/>
      <c r="BK347" s="123"/>
      <c r="BL347" s="123"/>
      <c r="BM347" s="123"/>
      <c r="BN347" s="123"/>
      <c r="BO347" s="123"/>
      <c r="BP347" s="123"/>
      <c r="BQ347" s="123"/>
      <c r="BR347" s="123"/>
      <c r="BS347" s="123"/>
      <c r="BT347" s="123"/>
      <c r="BU347" s="123"/>
      <c r="BV347" s="123"/>
      <c r="BW347" s="123"/>
      <c r="BX347" s="123"/>
      <c r="BY347" s="123"/>
      <c r="BZ347" s="123"/>
      <c r="CA347" s="123"/>
      <c r="CB347" s="123"/>
      <c r="CC347" s="123"/>
      <c r="CD347" s="123"/>
      <c r="CE347" s="123"/>
      <c r="CF347" s="123"/>
      <c r="CG347" s="123"/>
      <c r="CH347" s="123"/>
      <c r="CI347" s="123"/>
      <c r="CJ347" s="123"/>
      <c r="CK347" s="123"/>
      <c r="CL347" s="123"/>
      <c r="CM347" s="123"/>
      <c r="CN347" s="123"/>
      <c r="CO347" s="123"/>
      <c r="CP347" s="123"/>
      <c r="CQ347" s="123"/>
      <c r="CR347" s="123"/>
      <c r="CS347" s="123"/>
      <c r="CT347" s="123"/>
      <c r="CU347" s="123"/>
      <c r="CV347" s="123"/>
      <c r="CW347" s="123"/>
      <c r="CX347" s="123"/>
    </row>
    <row r="348" spans="1:102" s="138" customFormat="1" ht="76.5" x14ac:dyDescent="0.25">
      <c r="A348" s="25"/>
      <c r="B348" s="686" t="s">
        <v>118</v>
      </c>
      <c r="C348" s="29" t="s">
        <v>69</v>
      </c>
      <c r="D348" s="494">
        <v>6</v>
      </c>
      <c r="E348" s="495">
        <v>7</v>
      </c>
      <c r="F348" s="33" t="str">
        <f t="shared" si="2"/>
        <v>100</v>
      </c>
      <c r="G348" s="32"/>
      <c r="H348" s="677" t="s">
        <v>1081</v>
      </c>
      <c r="I348" s="123"/>
      <c r="J348" s="123"/>
      <c r="L348" s="123"/>
      <c r="M348" s="123"/>
      <c r="N348" s="123"/>
      <c r="O348" s="123"/>
      <c r="P348" s="123"/>
      <c r="Q348" s="123"/>
      <c r="R348" s="123"/>
      <c r="S348" s="123"/>
      <c r="T348" s="123"/>
      <c r="U348" s="123"/>
      <c r="V348" s="123"/>
      <c r="W348" s="123"/>
      <c r="X348" s="123"/>
      <c r="Y348" s="123"/>
      <c r="Z348" s="123"/>
      <c r="AA348" s="123"/>
      <c r="AB348" s="123"/>
      <c r="AC348" s="123"/>
      <c r="AD348" s="123"/>
      <c r="AE348" s="123"/>
      <c r="AF348" s="123"/>
      <c r="AG348" s="123"/>
      <c r="AH348" s="123"/>
      <c r="AI348" s="123"/>
      <c r="AJ348" s="123"/>
      <c r="AK348" s="123"/>
      <c r="AL348" s="123"/>
      <c r="AM348" s="123"/>
      <c r="AN348" s="123"/>
      <c r="AO348" s="123"/>
      <c r="AP348" s="123"/>
      <c r="AQ348" s="123"/>
      <c r="AR348" s="123"/>
      <c r="AS348" s="123"/>
      <c r="AT348" s="123"/>
      <c r="AU348" s="123"/>
      <c r="AV348" s="123"/>
      <c r="AW348" s="123"/>
      <c r="AX348" s="123"/>
      <c r="AY348" s="123"/>
      <c r="AZ348" s="123"/>
      <c r="BA348" s="123"/>
      <c r="BB348" s="123"/>
      <c r="BC348" s="123"/>
      <c r="BD348" s="123"/>
      <c r="BE348" s="123"/>
      <c r="BF348" s="123"/>
      <c r="BG348" s="123"/>
      <c r="BH348" s="123"/>
      <c r="BI348" s="123"/>
      <c r="BJ348" s="123"/>
      <c r="BK348" s="123"/>
      <c r="BL348" s="123"/>
      <c r="BM348" s="123"/>
      <c r="BN348" s="123"/>
      <c r="BO348" s="123"/>
      <c r="BP348" s="123"/>
      <c r="BQ348" s="123"/>
      <c r="BR348" s="123"/>
      <c r="BS348" s="123"/>
      <c r="BT348" s="123"/>
      <c r="BU348" s="123"/>
      <c r="BV348" s="123"/>
      <c r="BW348" s="123"/>
      <c r="BX348" s="123"/>
      <c r="BY348" s="123"/>
      <c r="BZ348" s="123"/>
      <c r="CA348" s="123"/>
      <c r="CB348" s="123"/>
      <c r="CC348" s="123"/>
      <c r="CD348" s="123"/>
      <c r="CE348" s="123"/>
      <c r="CF348" s="123"/>
      <c r="CG348" s="123"/>
      <c r="CH348" s="123"/>
      <c r="CI348" s="123"/>
      <c r="CJ348" s="123"/>
      <c r="CK348" s="123"/>
      <c r="CL348" s="123"/>
      <c r="CM348" s="123"/>
      <c r="CN348" s="123"/>
      <c r="CO348" s="123"/>
      <c r="CP348" s="123"/>
      <c r="CQ348" s="123"/>
      <c r="CR348" s="123"/>
      <c r="CS348" s="123"/>
      <c r="CT348" s="123"/>
      <c r="CU348" s="123"/>
      <c r="CV348" s="123"/>
      <c r="CW348" s="123"/>
      <c r="CX348" s="123"/>
    </row>
    <row r="349" spans="1:102" s="138" customFormat="1" ht="47.25" x14ac:dyDescent="0.25">
      <c r="A349" s="25"/>
      <c r="B349" s="686" t="s">
        <v>119</v>
      </c>
      <c r="C349" s="29" t="s">
        <v>52</v>
      </c>
      <c r="D349" s="494">
        <v>1277</v>
      </c>
      <c r="E349" s="495">
        <v>1412</v>
      </c>
      <c r="F349" s="33" t="str">
        <f t="shared" si="2"/>
        <v>100</v>
      </c>
      <c r="G349" s="32"/>
      <c r="H349" s="678" t="s">
        <v>1082</v>
      </c>
      <c r="I349" s="123"/>
      <c r="J349" s="123"/>
      <c r="L349" s="123"/>
      <c r="M349" s="123"/>
      <c r="N349" s="123"/>
      <c r="O349" s="123"/>
      <c r="P349" s="123"/>
      <c r="Q349" s="123"/>
      <c r="R349" s="123"/>
      <c r="S349" s="123"/>
      <c r="T349" s="123"/>
      <c r="U349" s="123"/>
      <c r="V349" s="123"/>
      <c r="W349" s="123"/>
      <c r="X349" s="123"/>
      <c r="Y349" s="123"/>
      <c r="Z349" s="123"/>
      <c r="AA349" s="123"/>
      <c r="AB349" s="123"/>
      <c r="AC349" s="123"/>
      <c r="AD349" s="123"/>
      <c r="AE349" s="123"/>
      <c r="AF349" s="123"/>
      <c r="AG349" s="123"/>
      <c r="AH349" s="123"/>
      <c r="AI349" s="123"/>
      <c r="AJ349" s="123"/>
      <c r="AK349" s="123"/>
      <c r="AL349" s="123"/>
      <c r="AM349" s="123"/>
      <c r="AN349" s="123"/>
      <c r="AO349" s="123"/>
      <c r="AP349" s="123"/>
      <c r="AQ349" s="123"/>
      <c r="AR349" s="123"/>
      <c r="AS349" s="123"/>
      <c r="AT349" s="123"/>
      <c r="AU349" s="123"/>
      <c r="AV349" s="123"/>
      <c r="AW349" s="123"/>
      <c r="AX349" s="123"/>
      <c r="AY349" s="123"/>
      <c r="AZ349" s="123"/>
      <c r="BA349" s="123"/>
      <c r="BB349" s="123"/>
      <c r="BC349" s="123"/>
      <c r="BD349" s="123"/>
      <c r="BE349" s="123"/>
      <c r="BF349" s="123"/>
      <c r="BG349" s="123"/>
      <c r="BH349" s="123"/>
      <c r="BI349" s="123"/>
      <c r="BJ349" s="123"/>
      <c r="BK349" s="123"/>
      <c r="BL349" s="123"/>
      <c r="BM349" s="123"/>
      <c r="BN349" s="123"/>
      <c r="BO349" s="123"/>
      <c r="BP349" s="123"/>
      <c r="BQ349" s="123"/>
      <c r="BR349" s="123"/>
      <c r="BS349" s="123"/>
      <c r="BT349" s="123"/>
      <c r="BU349" s="123"/>
      <c r="BV349" s="123"/>
      <c r="BW349" s="123"/>
      <c r="BX349" s="123"/>
      <c r="BY349" s="123"/>
      <c r="BZ349" s="123"/>
      <c r="CA349" s="123"/>
      <c r="CB349" s="123"/>
      <c r="CC349" s="123"/>
      <c r="CD349" s="123"/>
      <c r="CE349" s="123"/>
      <c r="CF349" s="123"/>
      <c r="CG349" s="123"/>
      <c r="CH349" s="123"/>
      <c r="CI349" s="123"/>
      <c r="CJ349" s="123"/>
      <c r="CK349" s="123"/>
      <c r="CL349" s="123"/>
      <c r="CM349" s="123"/>
      <c r="CN349" s="123"/>
      <c r="CO349" s="123"/>
      <c r="CP349" s="123"/>
      <c r="CQ349" s="123"/>
      <c r="CR349" s="123"/>
      <c r="CS349" s="123"/>
      <c r="CT349" s="123"/>
      <c r="CU349" s="123"/>
      <c r="CV349" s="123"/>
      <c r="CW349" s="123"/>
      <c r="CX349" s="123"/>
    </row>
    <row r="350" spans="1:102" s="138" customFormat="1" x14ac:dyDescent="0.25">
      <c r="A350" s="25"/>
      <c r="B350" s="794" t="s">
        <v>329</v>
      </c>
      <c r="C350" s="794"/>
      <c r="D350" s="794"/>
      <c r="E350" s="794"/>
      <c r="F350" s="794"/>
      <c r="G350" s="32"/>
      <c r="H350" s="216"/>
      <c r="I350" s="123"/>
      <c r="J350" s="123"/>
      <c r="K350" s="123"/>
      <c r="L350" s="123"/>
      <c r="M350" s="123"/>
      <c r="N350" s="123"/>
      <c r="O350" s="123"/>
      <c r="P350" s="123"/>
      <c r="Q350" s="123"/>
      <c r="R350" s="123"/>
      <c r="S350" s="123"/>
      <c r="T350" s="123"/>
      <c r="U350" s="123"/>
      <c r="V350" s="123"/>
      <c r="W350" s="123"/>
      <c r="X350" s="123"/>
      <c r="Y350" s="123"/>
      <c r="Z350" s="123"/>
      <c r="AA350" s="123"/>
      <c r="AB350" s="123"/>
      <c r="AC350" s="123"/>
      <c r="AD350" s="123"/>
      <c r="AE350" s="123"/>
      <c r="AF350" s="123"/>
      <c r="AG350" s="123"/>
      <c r="AH350" s="123"/>
      <c r="AI350" s="123"/>
      <c r="AJ350" s="123"/>
      <c r="AK350" s="123"/>
      <c r="AL350" s="123"/>
      <c r="AM350" s="123"/>
      <c r="AN350" s="123"/>
      <c r="AO350" s="123"/>
      <c r="AP350" s="123"/>
      <c r="AQ350" s="123"/>
      <c r="AR350" s="123"/>
      <c r="AS350" s="123"/>
      <c r="AT350" s="123"/>
      <c r="AU350" s="123"/>
      <c r="AV350" s="123"/>
      <c r="AW350" s="123"/>
      <c r="AX350" s="123"/>
      <c r="AY350" s="123"/>
      <c r="AZ350" s="123"/>
      <c r="BA350" s="123"/>
      <c r="BB350" s="123"/>
      <c r="BC350" s="123"/>
      <c r="BD350" s="123"/>
      <c r="BE350" s="123"/>
      <c r="BF350" s="123"/>
      <c r="BG350" s="123"/>
      <c r="BH350" s="123"/>
      <c r="BI350" s="123"/>
      <c r="BJ350" s="123"/>
      <c r="BK350" s="123"/>
      <c r="BL350" s="123"/>
      <c r="BM350" s="123"/>
      <c r="BN350" s="123"/>
      <c r="BO350" s="123"/>
      <c r="BP350" s="123"/>
      <c r="BQ350" s="123"/>
      <c r="BR350" s="123"/>
      <c r="BS350" s="123"/>
      <c r="BT350" s="123"/>
      <c r="BU350" s="123"/>
      <c r="BV350" s="123"/>
      <c r="BW350" s="123"/>
      <c r="BX350" s="123"/>
      <c r="BY350" s="123"/>
      <c r="BZ350" s="123"/>
      <c r="CA350" s="123"/>
      <c r="CB350" s="123"/>
      <c r="CC350" s="123"/>
      <c r="CD350" s="123"/>
      <c r="CE350" s="123"/>
      <c r="CF350" s="123"/>
      <c r="CG350" s="123"/>
      <c r="CH350" s="123"/>
      <c r="CI350" s="123"/>
      <c r="CJ350" s="123"/>
      <c r="CK350" s="123"/>
      <c r="CL350" s="123"/>
      <c r="CM350" s="123"/>
      <c r="CN350" s="123"/>
      <c r="CO350" s="123"/>
      <c r="CP350" s="123"/>
      <c r="CQ350" s="123"/>
      <c r="CR350" s="123"/>
      <c r="CS350" s="123"/>
      <c r="CT350" s="123"/>
      <c r="CU350" s="123"/>
      <c r="CV350" s="123"/>
      <c r="CW350" s="123"/>
      <c r="CX350" s="123"/>
    </row>
    <row r="351" spans="1:102" s="138" customFormat="1" ht="47.25" x14ac:dyDescent="0.25">
      <c r="A351" s="25"/>
      <c r="B351" s="686" t="s">
        <v>120</v>
      </c>
      <c r="C351" s="29" t="s">
        <v>106</v>
      </c>
      <c r="D351" s="494">
        <v>1</v>
      </c>
      <c r="E351" s="494">
        <v>0</v>
      </c>
      <c r="F351" s="33">
        <f t="shared" si="2"/>
        <v>0</v>
      </c>
      <c r="G351" s="32"/>
      <c r="H351" s="216"/>
      <c r="I351" s="123"/>
      <c r="J351" s="123"/>
      <c r="K351" s="23">
        <v>1</v>
      </c>
      <c r="L351" s="123"/>
      <c r="M351" s="123"/>
      <c r="N351" s="123"/>
      <c r="O351" s="123"/>
      <c r="P351" s="123"/>
      <c r="Q351" s="123"/>
      <c r="R351" s="123"/>
      <c r="S351" s="123"/>
      <c r="T351" s="123"/>
      <c r="U351" s="123"/>
      <c r="V351" s="123"/>
      <c r="W351" s="123"/>
      <c r="X351" s="123"/>
      <c r="Y351" s="123"/>
      <c r="Z351" s="123"/>
      <c r="AA351" s="123"/>
      <c r="AB351" s="123"/>
      <c r="AC351" s="123"/>
      <c r="AD351" s="123"/>
      <c r="AE351" s="123"/>
      <c r="AF351" s="123"/>
      <c r="AG351" s="123"/>
      <c r="AH351" s="123"/>
      <c r="AI351" s="123"/>
      <c r="AJ351" s="123"/>
      <c r="AK351" s="123"/>
      <c r="AL351" s="123"/>
      <c r="AM351" s="123"/>
      <c r="AN351" s="123"/>
      <c r="AO351" s="123"/>
      <c r="AP351" s="123"/>
      <c r="AQ351" s="123"/>
      <c r="AR351" s="123"/>
      <c r="AS351" s="123"/>
      <c r="AT351" s="123"/>
      <c r="AU351" s="123"/>
      <c r="AV351" s="123"/>
      <c r="AW351" s="123"/>
      <c r="AX351" s="123"/>
      <c r="AY351" s="123"/>
      <c r="AZ351" s="123"/>
      <c r="BA351" s="123"/>
      <c r="BB351" s="123"/>
      <c r="BC351" s="123"/>
      <c r="BD351" s="123"/>
      <c r="BE351" s="123"/>
      <c r="BF351" s="123"/>
      <c r="BG351" s="123"/>
      <c r="BH351" s="123"/>
      <c r="BI351" s="123"/>
      <c r="BJ351" s="123"/>
      <c r="BK351" s="123"/>
      <c r="BL351" s="123"/>
      <c r="BM351" s="123"/>
      <c r="BN351" s="123"/>
      <c r="BO351" s="123"/>
      <c r="BP351" s="123"/>
      <c r="BQ351" s="123"/>
      <c r="BR351" s="123"/>
      <c r="BS351" s="123"/>
      <c r="BT351" s="123"/>
      <c r="BU351" s="123"/>
      <c r="BV351" s="123"/>
      <c r="BW351" s="123"/>
      <c r="BX351" s="123"/>
      <c r="BY351" s="123"/>
      <c r="BZ351" s="123"/>
      <c r="CA351" s="123"/>
      <c r="CB351" s="123"/>
      <c r="CC351" s="123"/>
      <c r="CD351" s="123"/>
      <c r="CE351" s="123"/>
      <c r="CF351" s="123"/>
      <c r="CG351" s="123"/>
      <c r="CH351" s="123"/>
      <c r="CI351" s="123"/>
      <c r="CJ351" s="123"/>
      <c r="CK351" s="123"/>
      <c r="CL351" s="123"/>
      <c r="CM351" s="123"/>
      <c r="CN351" s="123"/>
      <c r="CO351" s="123"/>
      <c r="CP351" s="123"/>
      <c r="CQ351" s="123"/>
      <c r="CR351" s="123"/>
      <c r="CS351" s="123"/>
      <c r="CT351" s="123"/>
      <c r="CU351" s="123"/>
      <c r="CV351" s="123"/>
      <c r="CW351" s="123"/>
      <c r="CX351" s="123"/>
    </row>
    <row r="352" spans="1:102" s="138" customFormat="1" ht="47.25" x14ac:dyDescent="0.25">
      <c r="A352" s="25"/>
      <c r="B352" s="686" t="s">
        <v>121</v>
      </c>
      <c r="C352" s="29" t="s">
        <v>52</v>
      </c>
      <c r="D352" s="494">
        <v>8</v>
      </c>
      <c r="E352" s="494">
        <v>15</v>
      </c>
      <c r="F352" s="33" t="str">
        <f t="shared" si="2"/>
        <v>100</v>
      </c>
      <c r="G352" s="32"/>
      <c r="H352" s="673" t="s">
        <v>1093</v>
      </c>
      <c r="I352" s="123"/>
      <c r="J352" s="123"/>
      <c r="L352" s="123"/>
      <c r="M352" s="123"/>
      <c r="N352" s="123"/>
      <c r="O352" s="123"/>
      <c r="P352" s="123"/>
      <c r="Q352" s="123"/>
      <c r="R352" s="123"/>
      <c r="S352" s="123"/>
      <c r="T352" s="123"/>
      <c r="U352" s="123"/>
      <c r="V352" s="123"/>
      <c r="W352" s="123"/>
      <c r="X352" s="123"/>
      <c r="Y352" s="123"/>
      <c r="Z352" s="123"/>
      <c r="AA352" s="123"/>
      <c r="AB352" s="123"/>
      <c r="AC352" s="123"/>
      <c r="AD352" s="123"/>
      <c r="AE352" s="123"/>
      <c r="AF352" s="123"/>
      <c r="AG352" s="123"/>
      <c r="AH352" s="123"/>
      <c r="AI352" s="123"/>
      <c r="AJ352" s="123"/>
      <c r="AK352" s="123"/>
      <c r="AL352" s="123"/>
      <c r="AM352" s="123"/>
      <c r="AN352" s="123"/>
      <c r="AO352" s="123"/>
      <c r="AP352" s="123"/>
      <c r="AQ352" s="123"/>
      <c r="AR352" s="123"/>
      <c r="AS352" s="123"/>
      <c r="AT352" s="123"/>
      <c r="AU352" s="123"/>
      <c r="AV352" s="123"/>
      <c r="AW352" s="123"/>
      <c r="AX352" s="123"/>
      <c r="AY352" s="123"/>
      <c r="AZ352" s="123"/>
      <c r="BA352" s="123"/>
      <c r="BB352" s="123"/>
      <c r="BC352" s="123"/>
      <c r="BD352" s="123"/>
      <c r="BE352" s="123"/>
      <c r="BF352" s="123"/>
      <c r="BG352" s="123"/>
      <c r="BH352" s="123"/>
      <c r="BI352" s="123"/>
      <c r="BJ352" s="123"/>
      <c r="BK352" s="123"/>
      <c r="BL352" s="123"/>
      <c r="BM352" s="123"/>
      <c r="BN352" s="123"/>
      <c r="BO352" s="123"/>
      <c r="BP352" s="123"/>
      <c r="BQ352" s="123"/>
      <c r="BR352" s="123"/>
      <c r="BS352" s="123"/>
      <c r="BT352" s="123"/>
      <c r="BU352" s="123"/>
      <c r="BV352" s="123"/>
      <c r="BW352" s="123"/>
      <c r="BX352" s="123"/>
      <c r="BY352" s="123"/>
      <c r="BZ352" s="123"/>
      <c r="CA352" s="123"/>
      <c r="CB352" s="123"/>
      <c r="CC352" s="123"/>
      <c r="CD352" s="123"/>
      <c r="CE352" s="123"/>
      <c r="CF352" s="123"/>
      <c r="CG352" s="123"/>
      <c r="CH352" s="123"/>
      <c r="CI352" s="123"/>
      <c r="CJ352" s="123"/>
      <c r="CK352" s="123"/>
      <c r="CL352" s="123"/>
      <c r="CM352" s="123"/>
      <c r="CN352" s="123"/>
      <c r="CO352" s="123"/>
      <c r="CP352" s="123"/>
      <c r="CQ352" s="123"/>
      <c r="CR352" s="123"/>
      <c r="CS352" s="123"/>
      <c r="CT352" s="123"/>
      <c r="CU352" s="123"/>
      <c r="CV352" s="123"/>
      <c r="CW352" s="123"/>
      <c r="CX352" s="123"/>
    </row>
    <row r="353" spans="1:102" s="138" customFormat="1" ht="31.5" x14ac:dyDescent="0.25">
      <c r="A353" s="25"/>
      <c r="B353" s="686" t="s">
        <v>122</v>
      </c>
      <c r="C353" s="29" t="s">
        <v>69</v>
      </c>
      <c r="D353" s="494">
        <v>0</v>
      </c>
      <c r="E353" s="495">
        <v>0</v>
      </c>
      <c r="F353" s="33"/>
      <c r="G353" s="32"/>
      <c r="H353" s="216"/>
      <c r="I353" s="123"/>
      <c r="J353" s="123"/>
      <c r="K353" s="123"/>
      <c r="L353" s="123"/>
      <c r="M353" s="123"/>
      <c r="N353" s="123"/>
      <c r="O353" s="123"/>
      <c r="P353" s="123"/>
      <c r="Q353" s="123"/>
      <c r="R353" s="123"/>
      <c r="S353" s="123"/>
      <c r="T353" s="123"/>
      <c r="U353" s="123"/>
      <c r="V353" s="123"/>
      <c r="W353" s="123"/>
      <c r="X353" s="123"/>
      <c r="Y353" s="123"/>
      <c r="Z353" s="123"/>
      <c r="AA353" s="123"/>
      <c r="AB353" s="123"/>
      <c r="AC353" s="123"/>
      <c r="AD353" s="123"/>
      <c r="AE353" s="123"/>
      <c r="AF353" s="123"/>
      <c r="AG353" s="123"/>
      <c r="AH353" s="123"/>
      <c r="AI353" s="123"/>
      <c r="AJ353" s="123"/>
      <c r="AK353" s="123"/>
      <c r="AL353" s="123"/>
      <c r="AM353" s="123"/>
      <c r="AN353" s="123"/>
      <c r="AO353" s="123"/>
      <c r="AP353" s="123"/>
      <c r="AQ353" s="123"/>
      <c r="AR353" s="123"/>
      <c r="AS353" s="123"/>
      <c r="AT353" s="123"/>
      <c r="AU353" s="123"/>
      <c r="AV353" s="123"/>
      <c r="AW353" s="123"/>
      <c r="AX353" s="123"/>
      <c r="AY353" s="123"/>
      <c r="AZ353" s="123"/>
      <c r="BA353" s="123"/>
      <c r="BB353" s="123"/>
      <c r="BC353" s="123"/>
      <c r="BD353" s="123"/>
      <c r="BE353" s="123"/>
      <c r="BF353" s="123"/>
      <c r="BG353" s="123"/>
      <c r="BH353" s="123"/>
      <c r="BI353" s="123"/>
      <c r="BJ353" s="123"/>
      <c r="BK353" s="123"/>
      <c r="BL353" s="123"/>
      <c r="BM353" s="123"/>
      <c r="BN353" s="123"/>
      <c r="BO353" s="123"/>
      <c r="BP353" s="123"/>
      <c r="BQ353" s="123"/>
      <c r="BR353" s="123"/>
      <c r="BS353" s="123"/>
      <c r="BT353" s="123"/>
      <c r="BU353" s="123"/>
      <c r="BV353" s="123"/>
      <c r="BW353" s="123"/>
      <c r="BX353" s="123"/>
      <c r="BY353" s="123"/>
      <c r="BZ353" s="123"/>
      <c r="CA353" s="123"/>
      <c r="CB353" s="123"/>
      <c r="CC353" s="123"/>
      <c r="CD353" s="123"/>
      <c r="CE353" s="123"/>
      <c r="CF353" s="123"/>
      <c r="CG353" s="123"/>
      <c r="CH353" s="123"/>
      <c r="CI353" s="123"/>
      <c r="CJ353" s="123"/>
      <c r="CK353" s="123"/>
      <c r="CL353" s="123"/>
      <c r="CM353" s="123"/>
      <c r="CN353" s="123"/>
      <c r="CO353" s="123"/>
      <c r="CP353" s="123"/>
      <c r="CQ353" s="123"/>
      <c r="CR353" s="123"/>
      <c r="CS353" s="123"/>
      <c r="CT353" s="123"/>
      <c r="CU353" s="123"/>
      <c r="CV353" s="123"/>
      <c r="CW353" s="123"/>
      <c r="CX353" s="123"/>
    </row>
    <row r="354" spans="1:102" s="22" customFormat="1" x14ac:dyDescent="0.25">
      <c r="A354" s="24"/>
      <c r="B354" s="815" t="s">
        <v>330</v>
      </c>
      <c r="C354" s="815"/>
      <c r="D354" s="815"/>
      <c r="E354" s="815"/>
      <c r="F354" s="815"/>
      <c r="G354" s="664"/>
      <c r="H354" s="231"/>
      <c r="I354" s="40"/>
      <c r="J354" s="40"/>
      <c r="K354" s="40"/>
      <c r="L354" s="40"/>
      <c r="M354" s="40"/>
      <c r="N354" s="40"/>
      <c r="O354" s="40"/>
      <c r="P354" s="40"/>
      <c r="Q354" s="40"/>
      <c r="R354" s="40"/>
      <c r="S354" s="40"/>
      <c r="T354" s="40"/>
      <c r="U354" s="40"/>
      <c r="V354" s="40"/>
      <c r="W354" s="40"/>
      <c r="X354" s="40"/>
      <c r="Y354" s="40"/>
      <c r="Z354" s="40"/>
      <c r="AA354" s="40"/>
      <c r="AB354" s="40"/>
      <c r="AC354" s="40"/>
      <c r="AD354" s="40"/>
      <c r="AE354" s="40"/>
      <c r="AF354" s="40"/>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0"/>
      <c r="BN354" s="40"/>
      <c r="BO354" s="40"/>
      <c r="BP354" s="40"/>
      <c r="BQ354" s="40"/>
      <c r="BR354" s="40"/>
      <c r="BS354" s="40"/>
      <c r="BT354" s="40"/>
      <c r="BU354" s="40"/>
      <c r="BV354" s="40"/>
      <c r="BW354" s="40"/>
      <c r="BX354" s="40"/>
      <c r="BY354" s="40"/>
      <c r="BZ354" s="40"/>
      <c r="CA354" s="40"/>
      <c r="CB354" s="40"/>
      <c r="CC354" s="40"/>
      <c r="CD354" s="40"/>
      <c r="CE354" s="40"/>
      <c r="CF354" s="40"/>
      <c r="CG354" s="40"/>
      <c r="CH354" s="40"/>
      <c r="CI354" s="40"/>
      <c r="CJ354" s="40"/>
      <c r="CK354" s="40"/>
      <c r="CL354" s="40"/>
      <c r="CM354" s="40"/>
      <c r="CN354" s="40"/>
      <c r="CO354" s="40"/>
      <c r="CP354" s="40"/>
      <c r="CQ354" s="40"/>
      <c r="CR354" s="40"/>
      <c r="CS354" s="40"/>
      <c r="CT354" s="40"/>
      <c r="CU354" s="40"/>
      <c r="CV354" s="40"/>
      <c r="CW354" s="40"/>
      <c r="CX354" s="40"/>
    </row>
    <row r="355" spans="1:102" s="138" customFormat="1" x14ac:dyDescent="0.25">
      <c r="A355" s="25"/>
      <c r="B355" s="794" t="s">
        <v>331</v>
      </c>
      <c r="C355" s="794"/>
      <c r="D355" s="794"/>
      <c r="E355" s="794"/>
      <c r="F355" s="794"/>
      <c r="G355" s="32"/>
      <c r="H355" s="216"/>
      <c r="I355" s="123"/>
      <c r="J355" s="123"/>
      <c r="K355" s="123"/>
      <c r="L355" s="123"/>
      <c r="M355" s="123"/>
      <c r="N355" s="123"/>
      <c r="O355" s="123"/>
      <c r="P355" s="123"/>
      <c r="Q355" s="123"/>
      <c r="R355" s="123"/>
      <c r="S355" s="123"/>
      <c r="T355" s="123"/>
      <c r="U355" s="123"/>
      <c r="V355" s="123"/>
      <c r="W355" s="123"/>
      <c r="X355" s="123"/>
      <c r="Y355" s="123"/>
      <c r="Z355" s="123"/>
      <c r="AA355" s="123"/>
      <c r="AB355" s="123"/>
      <c r="AC355" s="123"/>
      <c r="AD355" s="123"/>
      <c r="AE355" s="123"/>
      <c r="AF355" s="123"/>
      <c r="AG355" s="123"/>
      <c r="AH355" s="123"/>
      <c r="AI355" s="123"/>
      <c r="AJ355" s="123"/>
      <c r="AK355" s="123"/>
      <c r="AL355" s="123"/>
      <c r="AM355" s="123"/>
      <c r="AN355" s="123"/>
      <c r="AO355" s="123"/>
      <c r="AP355" s="123"/>
      <c r="AQ355" s="123"/>
      <c r="AR355" s="123"/>
      <c r="AS355" s="123"/>
      <c r="AT355" s="123"/>
      <c r="AU355" s="123"/>
      <c r="AV355" s="123"/>
      <c r="AW355" s="123"/>
      <c r="AX355" s="123"/>
      <c r="AY355" s="123"/>
      <c r="AZ355" s="123"/>
      <c r="BA355" s="123"/>
      <c r="BB355" s="123"/>
      <c r="BC355" s="123"/>
      <c r="BD355" s="123"/>
      <c r="BE355" s="123"/>
      <c r="BF355" s="123"/>
      <c r="BG355" s="123"/>
      <c r="BH355" s="123"/>
      <c r="BI355" s="123"/>
      <c r="BJ355" s="123"/>
      <c r="BK355" s="123"/>
      <c r="BL355" s="123"/>
      <c r="BM355" s="123"/>
      <c r="BN355" s="123"/>
      <c r="BO355" s="123"/>
      <c r="BP355" s="123"/>
      <c r="BQ355" s="123"/>
      <c r="BR355" s="123"/>
      <c r="BS355" s="123"/>
      <c r="BT355" s="123"/>
      <c r="BU355" s="123"/>
      <c r="BV355" s="123"/>
      <c r="BW355" s="123"/>
      <c r="BX355" s="123"/>
      <c r="BY355" s="123"/>
      <c r="BZ355" s="123"/>
      <c r="CA355" s="123"/>
      <c r="CB355" s="123"/>
      <c r="CC355" s="123"/>
      <c r="CD355" s="123"/>
      <c r="CE355" s="123"/>
      <c r="CF355" s="123"/>
      <c r="CG355" s="123"/>
      <c r="CH355" s="123"/>
      <c r="CI355" s="123"/>
      <c r="CJ355" s="123"/>
      <c r="CK355" s="123"/>
      <c r="CL355" s="123"/>
      <c r="CM355" s="123"/>
      <c r="CN355" s="123"/>
      <c r="CO355" s="123"/>
      <c r="CP355" s="123"/>
      <c r="CQ355" s="123"/>
      <c r="CR355" s="123"/>
      <c r="CS355" s="123"/>
      <c r="CT355" s="123"/>
      <c r="CU355" s="123"/>
      <c r="CV355" s="123"/>
      <c r="CW355" s="123"/>
      <c r="CX355" s="123"/>
    </row>
    <row r="356" spans="1:102" s="138" customFormat="1" ht="47.25" x14ac:dyDescent="0.25">
      <c r="A356" s="25"/>
      <c r="B356" s="686" t="s">
        <v>123</v>
      </c>
      <c r="C356" s="29" t="s">
        <v>39</v>
      </c>
      <c r="D356" s="493">
        <v>76</v>
      </c>
      <c r="E356" s="493">
        <v>78.5</v>
      </c>
      <c r="F356" s="33" t="str">
        <f>IF((E356/D356*100)&gt;100,"100",E356/D356*100)</f>
        <v>100</v>
      </c>
      <c r="G356" s="32"/>
      <c r="H356" s="672" t="s">
        <v>1095</v>
      </c>
      <c r="I356" s="123"/>
      <c r="J356" s="123"/>
      <c r="L356" s="123"/>
      <c r="M356" s="123"/>
      <c r="N356" s="123"/>
      <c r="O356" s="123"/>
      <c r="P356" s="123"/>
      <c r="Q356" s="123"/>
      <c r="R356" s="123"/>
      <c r="S356" s="123"/>
      <c r="T356" s="123"/>
      <c r="U356" s="123"/>
      <c r="V356" s="123"/>
      <c r="W356" s="123"/>
      <c r="X356" s="123"/>
      <c r="Y356" s="123"/>
      <c r="Z356" s="123"/>
      <c r="AA356" s="123"/>
      <c r="AB356" s="123"/>
      <c r="AC356" s="123"/>
      <c r="AD356" s="123"/>
      <c r="AE356" s="123"/>
      <c r="AF356" s="123"/>
      <c r="AG356" s="123"/>
      <c r="AH356" s="123"/>
      <c r="AI356" s="123"/>
      <c r="AJ356" s="123"/>
      <c r="AK356" s="123"/>
      <c r="AL356" s="123"/>
      <c r="AM356" s="123"/>
      <c r="AN356" s="123"/>
      <c r="AO356" s="123"/>
      <c r="AP356" s="123"/>
      <c r="AQ356" s="123"/>
      <c r="AR356" s="123"/>
      <c r="AS356" s="123"/>
      <c r="AT356" s="123"/>
      <c r="AU356" s="123"/>
      <c r="AV356" s="123"/>
      <c r="AW356" s="123"/>
      <c r="AX356" s="123"/>
      <c r="AY356" s="123"/>
      <c r="AZ356" s="123"/>
      <c r="BA356" s="123"/>
      <c r="BB356" s="123"/>
      <c r="BC356" s="123"/>
      <c r="BD356" s="123"/>
      <c r="BE356" s="123"/>
      <c r="BF356" s="123"/>
      <c r="BG356" s="123"/>
      <c r="BH356" s="123"/>
      <c r="BI356" s="123"/>
      <c r="BJ356" s="123"/>
      <c r="BK356" s="123"/>
      <c r="BL356" s="123"/>
      <c r="BM356" s="123"/>
      <c r="BN356" s="123"/>
      <c r="BO356" s="123"/>
      <c r="BP356" s="123"/>
      <c r="BQ356" s="123"/>
      <c r="BR356" s="123"/>
      <c r="BS356" s="123"/>
      <c r="BT356" s="123"/>
      <c r="BU356" s="123"/>
      <c r="BV356" s="123"/>
      <c r="BW356" s="123"/>
      <c r="BX356" s="123"/>
      <c r="BY356" s="123"/>
      <c r="BZ356" s="123"/>
      <c r="CA356" s="123"/>
      <c r="CB356" s="123"/>
      <c r="CC356" s="123"/>
      <c r="CD356" s="123"/>
      <c r="CE356" s="123"/>
      <c r="CF356" s="123"/>
      <c r="CG356" s="123"/>
      <c r="CH356" s="123"/>
      <c r="CI356" s="123"/>
      <c r="CJ356" s="123"/>
      <c r="CK356" s="123"/>
      <c r="CL356" s="123"/>
      <c r="CM356" s="123"/>
      <c r="CN356" s="123"/>
      <c r="CO356" s="123"/>
      <c r="CP356" s="123"/>
      <c r="CQ356" s="123"/>
      <c r="CR356" s="123"/>
      <c r="CS356" s="123"/>
      <c r="CT356" s="123"/>
      <c r="CU356" s="123"/>
      <c r="CV356" s="123"/>
      <c r="CW356" s="123"/>
      <c r="CX356" s="123"/>
    </row>
    <row r="357" spans="1:102" s="138" customFormat="1" x14ac:dyDescent="0.25">
      <c r="A357" s="25"/>
      <c r="B357" s="633" t="s">
        <v>1094</v>
      </c>
      <c r="C357" s="634" t="s">
        <v>52</v>
      </c>
      <c r="D357" s="632">
        <v>0</v>
      </c>
      <c r="E357" s="632">
        <v>960</v>
      </c>
      <c r="F357" s="33"/>
      <c r="G357" s="32"/>
      <c r="H357" s="216"/>
      <c r="I357" s="123"/>
      <c r="J357" s="123"/>
      <c r="K357" s="123"/>
      <c r="L357" s="123"/>
      <c r="M357" s="123"/>
      <c r="N357" s="123"/>
      <c r="O357" s="123"/>
      <c r="P357" s="123"/>
      <c r="Q357" s="123"/>
      <c r="R357" s="123"/>
      <c r="S357" s="123"/>
      <c r="T357" s="123"/>
      <c r="U357" s="123"/>
      <c r="V357" s="123"/>
      <c r="W357" s="123"/>
      <c r="X357" s="123"/>
      <c r="Y357" s="123"/>
      <c r="Z357" s="123"/>
      <c r="AA357" s="123"/>
      <c r="AB357" s="123"/>
      <c r="AC357" s="123"/>
      <c r="AD357" s="123"/>
      <c r="AE357" s="123"/>
      <c r="AF357" s="123"/>
      <c r="AG357" s="123"/>
      <c r="AH357" s="123"/>
      <c r="AI357" s="123"/>
      <c r="AJ357" s="123"/>
      <c r="AK357" s="123"/>
      <c r="AL357" s="123"/>
      <c r="AM357" s="123"/>
      <c r="AN357" s="123"/>
      <c r="AO357" s="123"/>
      <c r="AP357" s="123"/>
      <c r="AQ357" s="123"/>
      <c r="AR357" s="123"/>
      <c r="AS357" s="123"/>
      <c r="AT357" s="123"/>
      <c r="AU357" s="123"/>
      <c r="AV357" s="123"/>
      <c r="AW357" s="123"/>
      <c r="AX357" s="123"/>
      <c r="AY357" s="123"/>
      <c r="AZ357" s="123"/>
      <c r="BA357" s="123"/>
      <c r="BB357" s="123"/>
      <c r="BC357" s="123"/>
      <c r="BD357" s="123"/>
      <c r="BE357" s="123"/>
      <c r="BF357" s="123"/>
      <c r="BG357" s="123"/>
      <c r="BH357" s="123"/>
      <c r="BI357" s="123"/>
      <c r="BJ357" s="123"/>
      <c r="BK357" s="123"/>
      <c r="BL357" s="123"/>
      <c r="BM357" s="123"/>
      <c r="BN357" s="123"/>
      <c r="BO357" s="123"/>
      <c r="BP357" s="123"/>
      <c r="BQ357" s="123"/>
      <c r="BR357" s="123"/>
      <c r="BS357" s="123"/>
      <c r="BT357" s="123"/>
      <c r="BU357" s="123"/>
      <c r="BV357" s="123"/>
      <c r="BW357" s="123"/>
      <c r="BX357" s="123"/>
      <c r="BY357" s="123"/>
      <c r="BZ357" s="123"/>
      <c r="CA357" s="123"/>
      <c r="CB357" s="123"/>
      <c r="CC357" s="123"/>
      <c r="CD357" s="123"/>
      <c r="CE357" s="123"/>
      <c r="CF357" s="123"/>
      <c r="CG357" s="123"/>
      <c r="CH357" s="123"/>
      <c r="CI357" s="123"/>
      <c r="CJ357" s="123"/>
      <c r="CK357" s="123"/>
      <c r="CL357" s="123"/>
      <c r="CM357" s="123"/>
      <c r="CN357" s="123"/>
      <c r="CO357" s="123"/>
      <c r="CP357" s="123"/>
      <c r="CQ357" s="123"/>
      <c r="CR357" s="123"/>
      <c r="CS357" s="123"/>
      <c r="CT357" s="123"/>
      <c r="CU357" s="123"/>
      <c r="CV357" s="123"/>
      <c r="CW357" s="123"/>
      <c r="CX357" s="123"/>
    </row>
    <row r="358" spans="1:102" s="138" customFormat="1" x14ac:dyDescent="0.25">
      <c r="A358" s="25"/>
      <c r="B358" s="794" t="s">
        <v>332</v>
      </c>
      <c r="C358" s="794"/>
      <c r="D358" s="794"/>
      <c r="E358" s="794"/>
      <c r="F358" s="794"/>
      <c r="G358" s="32"/>
      <c r="H358" s="216"/>
      <c r="I358" s="123"/>
      <c r="J358" s="123"/>
      <c r="K358" s="123"/>
      <c r="L358" s="123"/>
      <c r="M358" s="123"/>
      <c r="N358" s="123"/>
      <c r="O358" s="123"/>
      <c r="P358" s="123"/>
      <c r="Q358" s="123"/>
      <c r="R358" s="123"/>
      <c r="S358" s="123"/>
      <c r="T358" s="123"/>
      <c r="U358" s="123"/>
      <c r="V358" s="123"/>
      <c r="W358" s="123"/>
      <c r="X358" s="123"/>
      <c r="Y358" s="123"/>
      <c r="Z358" s="123"/>
      <c r="AA358" s="123"/>
      <c r="AB358" s="123"/>
      <c r="AC358" s="123"/>
      <c r="AD358" s="123"/>
      <c r="AE358" s="123"/>
      <c r="AF358" s="123"/>
      <c r="AG358" s="123"/>
      <c r="AH358" s="123"/>
      <c r="AI358" s="123"/>
      <c r="AJ358" s="123"/>
      <c r="AK358" s="123"/>
      <c r="AL358" s="123"/>
      <c r="AM358" s="123"/>
      <c r="AN358" s="123"/>
      <c r="AO358" s="123"/>
      <c r="AP358" s="123"/>
      <c r="AQ358" s="123"/>
      <c r="AR358" s="123"/>
      <c r="AS358" s="123"/>
      <c r="AT358" s="123"/>
      <c r="AU358" s="123"/>
      <c r="AV358" s="123"/>
      <c r="AW358" s="123"/>
      <c r="AX358" s="123"/>
      <c r="AY358" s="123"/>
      <c r="AZ358" s="123"/>
      <c r="BA358" s="123"/>
      <c r="BB358" s="123"/>
      <c r="BC358" s="123"/>
      <c r="BD358" s="123"/>
      <c r="BE358" s="123"/>
      <c r="BF358" s="123"/>
      <c r="BG358" s="123"/>
      <c r="BH358" s="123"/>
      <c r="BI358" s="123"/>
      <c r="BJ358" s="123"/>
      <c r="BK358" s="123"/>
      <c r="BL358" s="123"/>
      <c r="BM358" s="123"/>
      <c r="BN358" s="123"/>
      <c r="BO358" s="123"/>
      <c r="BP358" s="123"/>
      <c r="BQ358" s="123"/>
      <c r="BR358" s="123"/>
      <c r="BS358" s="123"/>
      <c r="BT358" s="123"/>
      <c r="BU358" s="123"/>
      <c r="BV358" s="123"/>
      <c r="BW358" s="123"/>
      <c r="BX358" s="123"/>
      <c r="BY358" s="123"/>
      <c r="BZ358" s="123"/>
      <c r="CA358" s="123"/>
      <c r="CB358" s="123"/>
      <c r="CC358" s="123"/>
      <c r="CD358" s="123"/>
      <c r="CE358" s="123"/>
      <c r="CF358" s="123"/>
      <c r="CG358" s="123"/>
      <c r="CH358" s="123"/>
      <c r="CI358" s="123"/>
      <c r="CJ358" s="123"/>
      <c r="CK358" s="123"/>
      <c r="CL358" s="123"/>
      <c r="CM358" s="123"/>
      <c r="CN358" s="123"/>
      <c r="CO358" s="123"/>
      <c r="CP358" s="123"/>
      <c r="CQ358" s="123"/>
      <c r="CR358" s="123"/>
      <c r="CS358" s="123"/>
      <c r="CT358" s="123"/>
      <c r="CU358" s="123"/>
      <c r="CV358" s="123"/>
      <c r="CW358" s="123"/>
      <c r="CX358" s="123"/>
    </row>
    <row r="359" spans="1:102" s="138" customFormat="1" ht="47.25" x14ac:dyDescent="0.25">
      <c r="A359" s="25"/>
      <c r="B359" s="686" t="s">
        <v>124</v>
      </c>
      <c r="C359" s="29" t="s">
        <v>39</v>
      </c>
      <c r="D359" s="493">
        <v>10</v>
      </c>
      <c r="E359" s="493">
        <v>20.9</v>
      </c>
      <c r="F359" s="33" t="str">
        <f t="shared" ref="F359:F368" si="3">IF((E359/D359*100)&gt;100,"100",E359/D359*100)</f>
        <v>100</v>
      </c>
      <c r="G359" s="32"/>
      <c r="H359" s="679" t="s">
        <v>1096</v>
      </c>
      <c r="I359" s="123"/>
      <c r="J359" s="123"/>
      <c r="L359" s="123"/>
      <c r="M359" s="123"/>
      <c r="N359" s="123"/>
      <c r="O359" s="123"/>
      <c r="P359" s="123"/>
      <c r="Q359" s="123"/>
      <c r="R359" s="123"/>
      <c r="S359" s="123"/>
      <c r="T359" s="123"/>
      <c r="U359" s="123"/>
      <c r="V359" s="123"/>
      <c r="W359" s="123"/>
      <c r="X359" s="123"/>
      <c r="Y359" s="123"/>
      <c r="Z359" s="123"/>
      <c r="AA359" s="123"/>
      <c r="AB359" s="123"/>
      <c r="AC359" s="123"/>
      <c r="AD359" s="123"/>
      <c r="AE359" s="123"/>
      <c r="AF359" s="123"/>
      <c r="AG359" s="123"/>
      <c r="AH359" s="123"/>
      <c r="AI359" s="123"/>
      <c r="AJ359" s="123"/>
      <c r="AK359" s="123"/>
      <c r="AL359" s="123"/>
      <c r="AM359" s="123"/>
      <c r="AN359" s="123"/>
      <c r="AO359" s="123"/>
      <c r="AP359" s="123"/>
      <c r="AQ359" s="123"/>
      <c r="AR359" s="123"/>
      <c r="AS359" s="123"/>
      <c r="AT359" s="123"/>
      <c r="AU359" s="123"/>
      <c r="AV359" s="123"/>
      <c r="AW359" s="123"/>
      <c r="AX359" s="123"/>
      <c r="AY359" s="123"/>
      <c r="AZ359" s="123"/>
      <c r="BA359" s="123"/>
      <c r="BB359" s="123"/>
      <c r="BC359" s="123"/>
      <c r="BD359" s="123"/>
      <c r="BE359" s="123"/>
      <c r="BF359" s="123"/>
      <c r="BG359" s="123"/>
      <c r="BH359" s="123"/>
      <c r="BI359" s="123"/>
      <c r="BJ359" s="123"/>
      <c r="BK359" s="123"/>
      <c r="BL359" s="123"/>
      <c r="BM359" s="123"/>
      <c r="BN359" s="123"/>
      <c r="BO359" s="123"/>
      <c r="BP359" s="123"/>
      <c r="BQ359" s="123"/>
      <c r="BR359" s="123"/>
      <c r="BS359" s="123"/>
      <c r="BT359" s="123"/>
      <c r="BU359" s="123"/>
      <c r="BV359" s="123"/>
      <c r="BW359" s="123"/>
      <c r="BX359" s="123"/>
      <c r="BY359" s="123"/>
      <c r="BZ359" s="123"/>
      <c r="CA359" s="123"/>
      <c r="CB359" s="123"/>
      <c r="CC359" s="123"/>
      <c r="CD359" s="123"/>
      <c r="CE359" s="123"/>
      <c r="CF359" s="123"/>
      <c r="CG359" s="123"/>
      <c r="CH359" s="123"/>
      <c r="CI359" s="123"/>
      <c r="CJ359" s="123"/>
      <c r="CK359" s="123"/>
      <c r="CL359" s="123"/>
      <c r="CM359" s="123"/>
      <c r="CN359" s="123"/>
      <c r="CO359" s="123"/>
      <c r="CP359" s="123"/>
      <c r="CQ359" s="123"/>
      <c r="CR359" s="123"/>
      <c r="CS359" s="123"/>
      <c r="CT359" s="123"/>
      <c r="CU359" s="123"/>
      <c r="CV359" s="123"/>
      <c r="CW359" s="123"/>
      <c r="CX359" s="123"/>
    </row>
    <row r="360" spans="1:102" s="138" customFormat="1" ht="47.25" x14ac:dyDescent="0.25">
      <c r="A360" s="25"/>
      <c r="B360" s="686" t="s">
        <v>125</v>
      </c>
      <c r="C360" s="29" t="s">
        <v>52</v>
      </c>
      <c r="D360" s="494">
        <v>70</v>
      </c>
      <c r="E360" s="494">
        <v>0</v>
      </c>
      <c r="F360" s="33">
        <f t="shared" si="3"/>
        <v>0</v>
      </c>
      <c r="G360" s="32"/>
      <c r="H360" s="679" t="s">
        <v>1097</v>
      </c>
      <c r="I360" s="123"/>
      <c r="J360" s="123"/>
      <c r="K360" s="23">
        <v>1</v>
      </c>
      <c r="L360" s="123"/>
      <c r="M360" s="123"/>
      <c r="N360" s="123"/>
      <c r="O360" s="123"/>
      <c r="P360" s="123"/>
      <c r="Q360" s="123"/>
      <c r="R360" s="123"/>
      <c r="S360" s="123"/>
      <c r="T360" s="123"/>
      <c r="U360" s="123"/>
      <c r="V360" s="123"/>
      <c r="W360" s="123"/>
      <c r="X360" s="123"/>
      <c r="Y360" s="123"/>
      <c r="Z360" s="123"/>
      <c r="AA360" s="123"/>
      <c r="AB360" s="123"/>
      <c r="AC360" s="123"/>
      <c r="AD360" s="123"/>
      <c r="AE360" s="123"/>
      <c r="AF360" s="123"/>
      <c r="AG360" s="123"/>
      <c r="AH360" s="123"/>
      <c r="AI360" s="123"/>
      <c r="AJ360" s="123"/>
      <c r="AK360" s="123"/>
      <c r="AL360" s="123"/>
      <c r="AM360" s="123"/>
      <c r="AN360" s="123"/>
      <c r="AO360" s="123"/>
      <c r="AP360" s="123"/>
      <c r="AQ360" s="123"/>
      <c r="AR360" s="123"/>
      <c r="AS360" s="123"/>
      <c r="AT360" s="123"/>
      <c r="AU360" s="123"/>
      <c r="AV360" s="123"/>
      <c r="AW360" s="123"/>
      <c r="AX360" s="123"/>
      <c r="AY360" s="123"/>
      <c r="AZ360" s="123"/>
      <c r="BA360" s="123"/>
      <c r="BB360" s="123"/>
      <c r="BC360" s="123"/>
      <c r="BD360" s="123"/>
      <c r="BE360" s="123"/>
      <c r="BF360" s="123"/>
      <c r="BG360" s="123"/>
      <c r="BH360" s="123"/>
      <c r="BI360" s="123"/>
      <c r="BJ360" s="123"/>
      <c r="BK360" s="123"/>
      <c r="BL360" s="123"/>
      <c r="BM360" s="123"/>
      <c r="BN360" s="123"/>
      <c r="BO360" s="123"/>
      <c r="BP360" s="123"/>
      <c r="BQ360" s="123"/>
      <c r="BR360" s="123"/>
      <c r="BS360" s="123"/>
      <c r="BT360" s="123"/>
      <c r="BU360" s="123"/>
      <c r="BV360" s="123"/>
      <c r="BW360" s="123"/>
      <c r="BX360" s="123"/>
      <c r="BY360" s="123"/>
      <c r="BZ360" s="123"/>
      <c r="CA360" s="123"/>
      <c r="CB360" s="123"/>
      <c r="CC360" s="123"/>
      <c r="CD360" s="123"/>
      <c r="CE360" s="123"/>
      <c r="CF360" s="123"/>
      <c r="CG360" s="123"/>
      <c r="CH360" s="123"/>
      <c r="CI360" s="123"/>
      <c r="CJ360" s="123"/>
      <c r="CK360" s="123"/>
      <c r="CL360" s="123"/>
      <c r="CM360" s="123"/>
      <c r="CN360" s="123"/>
      <c r="CO360" s="123"/>
      <c r="CP360" s="123"/>
      <c r="CQ360" s="123"/>
      <c r="CR360" s="123"/>
      <c r="CS360" s="123"/>
      <c r="CT360" s="123"/>
      <c r="CU360" s="123"/>
      <c r="CV360" s="123"/>
      <c r="CW360" s="123"/>
      <c r="CX360" s="123"/>
    </row>
    <row r="361" spans="1:102" s="138" customFormat="1" ht="102" x14ac:dyDescent="0.25">
      <c r="A361" s="25"/>
      <c r="B361" s="686" t="s">
        <v>126</v>
      </c>
      <c r="C361" s="29" t="s">
        <v>52</v>
      </c>
      <c r="D361" s="494">
        <v>22</v>
      </c>
      <c r="E361" s="493">
        <v>22</v>
      </c>
      <c r="F361" s="33">
        <f t="shared" si="3"/>
        <v>100</v>
      </c>
      <c r="G361" s="32"/>
      <c r="H361" s="679" t="s">
        <v>1098</v>
      </c>
      <c r="I361" s="123"/>
      <c r="J361" s="123"/>
      <c r="L361" s="123"/>
      <c r="M361" s="123"/>
      <c r="N361" s="123"/>
      <c r="O361" s="123"/>
      <c r="P361" s="123"/>
      <c r="Q361" s="123"/>
      <c r="R361" s="123"/>
      <c r="S361" s="123"/>
      <c r="T361" s="123"/>
      <c r="U361" s="123"/>
      <c r="V361" s="123"/>
      <c r="W361" s="123"/>
      <c r="X361" s="123"/>
      <c r="Y361" s="123"/>
      <c r="Z361" s="123"/>
      <c r="AA361" s="123"/>
      <c r="AB361" s="123"/>
      <c r="AC361" s="123"/>
      <c r="AD361" s="123"/>
      <c r="AE361" s="123"/>
      <c r="AF361" s="123"/>
      <c r="AG361" s="123"/>
      <c r="AH361" s="123"/>
      <c r="AI361" s="123"/>
      <c r="AJ361" s="123"/>
      <c r="AK361" s="123"/>
      <c r="AL361" s="123"/>
      <c r="AM361" s="123"/>
      <c r="AN361" s="123"/>
      <c r="AO361" s="123"/>
      <c r="AP361" s="123"/>
      <c r="AQ361" s="123"/>
      <c r="AR361" s="123"/>
      <c r="AS361" s="123"/>
      <c r="AT361" s="123"/>
      <c r="AU361" s="123"/>
      <c r="AV361" s="123"/>
      <c r="AW361" s="123"/>
      <c r="AX361" s="123"/>
      <c r="AY361" s="123"/>
      <c r="AZ361" s="123"/>
      <c r="BA361" s="123"/>
      <c r="BB361" s="123"/>
      <c r="BC361" s="123"/>
      <c r="BD361" s="123"/>
      <c r="BE361" s="123"/>
      <c r="BF361" s="123"/>
      <c r="BG361" s="123"/>
      <c r="BH361" s="123"/>
      <c r="BI361" s="123"/>
      <c r="BJ361" s="123"/>
      <c r="BK361" s="123"/>
      <c r="BL361" s="123"/>
      <c r="BM361" s="123"/>
      <c r="BN361" s="123"/>
      <c r="BO361" s="123"/>
      <c r="BP361" s="123"/>
      <c r="BQ361" s="123"/>
      <c r="BR361" s="123"/>
      <c r="BS361" s="123"/>
      <c r="BT361" s="123"/>
      <c r="BU361" s="123"/>
      <c r="BV361" s="123"/>
      <c r="BW361" s="123"/>
      <c r="BX361" s="123"/>
      <c r="BY361" s="123"/>
      <c r="BZ361" s="123"/>
      <c r="CA361" s="123"/>
      <c r="CB361" s="123"/>
      <c r="CC361" s="123"/>
      <c r="CD361" s="123"/>
      <c r="CE361" s="123"/>
      <c r="CF361" s="123"/>
      <c r="CG361" s="123"/>
      <c r="CH361" s="123"/>
      <c r="CI361" s="123"/>
      <c r="CJ361" s="123"/>
      <c r="CK361" s="123"/>
      <c r="CL361" s="123"/>
      <c r="CM361" s="123"/>
      <c r="CN361" s="123"/>
      <c r="CO361" s="123"/>
      <c r="CP361" s="123"/>
      <c r="CQ361" s="123"/>
      <c r="CR361" s="123"/>
      <c r="CS361" s="123"/>
      <c r="CT361" s="123"/>
      <c r="CU361" s="123"/>
      <c r="CV361" s="123"/>
      <c r="CW361" s="123"/>
      <c r="CX361" s="123"/>
    </row>
    <row r="362" spans="1:102" s="138" customFormat="1" ht="31.5" x14ac:dyDescent="0.25">
      <c r="A362" s="25"/>
      <c r="B362" s="686" t="s">
        <v>127</v>
      </c>
      <c r="C362" s="29" t="s">
        <v>52</v>
      </c>
      <c r="D362" s="494">
        <v>39</v>
      </c>
      <c r="E362" s="494">
        <v>39</v>
      </c>
      <c r="F362" s="33">
        <f t="shared" si="3"/>
        <v>100</v>
      </c>
      <c r="G362" s="32"/>
      <c r="H362" s="679" t="s">
        <v>1099</v>
      </c>
      <c r="I362" s="123"/>
      <c r="J362" s="123"/>
      <c r="L362" s="123"/>
      <c r="M362" s="123"/>
      <c r="N362" s="123"/>
      <c r="O362" s="123"/>
      <c r="P362" s="123"/>
      <c r="Q362" s="123"/>
      <c r="R362" s="123"/>
      <c r="S362" s="123"/>
      <c r="T362" s="123"/>
      <c r="U362" s="123"/>
      <c r="V362" s="123"/>
      <c r="W362" s="123"/>
      <c r="X362" s="123"/>
      <c r="Y362" s="123"/>
      <c r="Z362" s="123"/>
      <c r="AA362" s="123"/>
      <c r="AB362" s="123"/>
      <c r="AC362" s="123"/>
      <c r="AD362" s="123"/>
      <c r="AE362" s="123"/>
      <c r="AF362" s="123"/>
      <c r="AG362" s="123"/>
      <c r="AH362" s="123"/>
      <c r="AI362" s="123"/>
      <c r="AJ362" s="123"/>
      <c r="AK362" s="123"/>
      <c r="AL362" s="123"/>
      <c r="AM362" s="123"/>
      <c r="AN362" s="123"/>
      <c r="AO362" s="123"/>
      <c r="AP362" s="123"/>
      <c r="AQ362" s="123"/>
      <c r="AR362" s="123"/>
      <c r="AS362" s="123"/>
      <c r="AT362" s="123"/>
      <c r="AU362" s="123"/>
      <c r="AV362" s="123"/>
      <c r="AW362" s="123"/>
      <c r="AX362" s="123"/>
      <c r="AY362" s="123"/>
      <c r="AZ362" s="123"/>
      <c r="BA362" s="123"/>
      <c r="BB362" s="123"/>
      <c r="BC362" s="123"/>
      <c r="BD362" s="123"/>
      <c r="BE362" s="123"/>
      <c r="BF362" s="123"/>
      <c r="BG362" s="123"/>
      <c r="BH362" s="123"/>
      <c r="BI362" s="123"/>
      <c r="BJ362" s="123"/>
      <c r="BK362" s="123"/>
      <c r="BL362" s="123"/>
      <c r="BM362" s="123"/>
      <c r="BN362" s="123"/>
      <c r="BO362" s="123"/>
      <c r="BP362" s="123"/>
      <c r="BQ362" s="123"/>
      <c r="BR362" s="123"/>
      <c r="BS362" s="123"/>
      <c r="BT362" s="123"/>
      <c r="BU362" s="123"/>
      <c r="BV362" s="123"/>
      <c r="BW362" s="123"/>
      <c r="BX362" s="123"/>
      <c r="BY362" s="123"/>
      <c r="BZ362" s="123"/>
      <c r="CA362" s="123"/>
      <c r="CB362" s="123"/>
      <c r="CC362" s="123"/>
      <c r="CD362" s="123"/>
      <c r="CE362" s="123"/>
      <c r="CF362" s="123"/>
      <c r="CG362" s="123"/>
      <c r="CH362" s="123"/>
      <c r="CI362" s="123"/>
      <c r="CJ362" s="123"/>
      <c r="CK362" s="123"/>
      <c r="CL362" s="123"/>
      <c r="CM362" s="123"/>
      <c r="CN362" s="123"/>
      <c r="CO362" s="123"/>
      <c r="CP362" s="123"/>
      <c r="CQ362" s="123"/>
      <c r="CR362" s="123"/>
      <c r="CS362" s="123"/>
      <c r="CT362" s="123"/>
      <c r="CU362" s="123"/>
      <c r="CV362" s="123"/>
      <c r="CW362" s="123"/>
      <c r="CX362" s="123"/>
    </row>
    <row r="363" spans="1:102" s="138" customFormat="1" ht="26.25" customHeight="1" x14ac:dyDescent="0.25">
      <c r="A363" s="25"/>
      <c r="B363" s="686" t="s">
        <v>128</v>
      </c>
      <c r="C363" s="29" t="s">
        <v>52</v>
      </c>
      <c r="D363" s="494">
        <v>300</v>
      </c>
      <c r="E363" s="494">
        <v>331</v>
      </c>
      <c r="F363" s="33" t="str">
        <f t="shared" si="3"/>
        <v>100</v>
      </c>
      <c r="G363" s="32"/>
      <c r="H363" s="679" t="s">
        <v>1100</v>
      </c>
      <c r="I363" s="123"/>
      <c r="J363" s="123"/>
      <c r="L363" s="123"/>
      <c r="M363" s="123"/>
      <c r="N363" s="123"/>
      <c r="O363" s="123"/>
      <c r="P363" s="123"/>
      <c r="Q363" s="123"/>
      <c r="R363" s="123"/>
      <c r="S363" s="123"/>
      <c r="T363" s="123"/>
      <c r="U363" s="123"/>
      <c r="V363" s="123"/>
      <c r="W363" s="123"/>
      <c r="X363" s="123"/>
      <c r="Y363" s="123"/>
      <c r="Z363" s="123"/>
      <c r="AA363" s="123"/>
      <c r="AB363" s="123"/>
      <c r="AC363" s="123"/>
      <c r="AD363" s="123"/>
      <c r="AE363" s="123"/>
      <c r="AF363" s="123"/>
      <c r="AG363" s="123"/>
      <c r="AH363" s="123"/>
      <c r="AI363" s="123"/>
      <c r="AJ363" s="123"/>
      <c r="AK363" s="123"/>
      <c r="AL363" s="123"/>
      <c r="AM363" s="123"/>
      <c r="AN363" s="123"/>
      <c r="AO363" s="123"/>
      <c r="AP363" s="123"/>
      <c r="AQ363" s="123"/>
      <c r="AR363" s="123"/>
      <c r="AS363" s="123"/>
      <c r="AT363" s="123"/>
      <c r="AU363" s="123"/>
      <c r="AV363" s="123"/>
      <c r="AW363" s="123"/>
      <c r="AX363" s="123"/>
      <c r="AY363" s="123"/>
      <c r="AZ363" s="123"/>
      <c r="BA363" s="123"/>
      <c r="BB363" s="123"/>
      <c r="BC363" s="123"/>
      <c r="BD363" s="123"/>
      <c r="BE363" s="123"/>
      <c r="BF363" s="123"/>
      <c r="BG363" s="123"/>
      <c r="BH363" s="123"/>
      <c r="BI363" s="123"/>
      <c r="BJ363" s="123"/>
      <c r="BK363" s="123"/>
      <c r="BL363" s="123"/>
      <c r="BM363" s="123"/>
      <c r="BN363" s="123"/>
      <c r="BO363" s="123"/>
      <c r="BP363" s="123"/>
      <c r="BQ363" s="123"/>
      <c r="BR363" s="123"/>
      <c r="BS363" s="123"/>
      <c r="BT363" s="123"/>
      <c r="BU363" s="123"/>
      <c r="BV363" s="123"/>
      <c r="BW363" s="123"/>
      <c r="BX363" s="123"/>
      <c r="BY363" s="123"/>
      <c r="BZ363" s="123"/>
      <c r="CA363" s="123"/>
      <c r="CB363" s="123"/>
      <c r="CC363" s="123"/>
      <c r="CD363" s="123"/>
      <c r="CE363" s="123"/>
      <c r="CF363" s="123"/>
      <c r="CG363" s="123"/>
      <c r="CH363" s="123"/>
      <c r="CI363" s="123"/>
      <c r="CJ363" s="123"/>
      <c r="CK363" s="123"/>
      <c r="CL363" s="123"/>
      <c r="CM363" s="123"/>
      <c r="CN363" s="123"/>
      <c r="CO363" s="123"/>
      <c r="CP363" s="123"/>
      <c r="CQ363" s="123"/>
      <c r="CR363" s="123"/>
      <c r="CS363" s="123"/>
      <c r="CT363" s="123"/>
      <c r="CU363" s="123"/>
      <c r="CV363" s="123"/>
      <c r="CW363" s="123"/>
      <c r="CX363" s="123"/>
    </row>
    <row r="364" spans="1:102" s="138" customFormat="1" ht="47.25" x14ac:dyDescent="0.25">
      <c r="A364" s="25"/>
      <c r="B364" s="686" t="s">
        <v>129</v>
      </c>
      <c r="C364" s="496" t="s">
        <v>39</v>
      </c>
      <c r="D364" s="494">
        <v>7</v>
      </c>
      <c r="E364" s="494">
        <v>0</v>
      </c>
      <c r="F364" s="33">
        <f t="shared" si="3"/>
        <v>0</v>
      </c>
      <c r="G364" s="32"/>
      <c r="H364" s="679" t="s">
        <v>1101</v>
      </c>
      <c r="I364" s="123"/>
      <c r="J364" s="123"/>
      <c r="K364" s="23">
        <v>1</v>
      </c>
      <c r="L364" s="123"/>
      <c r="M364" s="123"/>
      <c r="N364" s="123"/>
      <c r="O364" s="123"/>
      <c r="P364" s="123"/>
      <c r="Q364" s="123"/>
      <c r="R364" s="123"/>
      <c r="S364" s="123"/>
      <c r="T364" s="123"/>
      <c r="U364" s="123"/>
      <c r="V364" s="123"/>
      <c r="W364" s="123"/>
      <c r="X364" s="123"/>
      <c r="Y364" s="123"/>
      <c r="Z364" s="123"/>
      <c r="AA364" s="123"/>
      <c r="AB364" s="123"/>
      <c r="AC364" s="123"/>
      <c r="AD364" s="123"/>
      <c r="AE364" s="123"/>
      <c r="AF364" s="123"/>
      <c r="AG364" s="123"/>
      <c r="AH364" s="123"/>
      <c r="AI364" s="123"/>
      <c r="AJ364" s="123"/>
      <c r="AK364" s="123"/>
      <c r="AL364" s="123"/>
      <c r="AM364" s="123"/>
      <c r="AN364" s="123"/>
      <c r="AO364" s="123"/>
      <c r="AP364" s="123"/>
      <c r="AQ364" s="123"/>
      <c r="AR364" s="123"/>
      <c r="AS364" s="123"/>
      <c r="AT364" s="123"/>
      <c r="AU364" s="123"/>
      <c r="AV364" s="123"/>
      <c r="AW364" s="123"/>
      <c r="AX364" s="123"/>
      <c r="AY364" s="123"/>
      <c r="AZ364" s="123"/>
      <c r="BA364" s="123"/>
      <c r="BB364" s="123"/>
      <c r="BC364" s="123"/>
      <c r="BD364" s="123"/>
      <c r="BE364" s="123"/>
      <c r="BF364" s="123"/>
      <c r="BG364" s="123"/>
      <c r="BH364" s="123"/>
      <c r="BI364" s="123"/>
      <c r="BJ364" s="123"/>
      <c r="BK364" s="123"/>
      <c r="BL364" s="123"/>
      <c r="BM364" s="123"/>
      <c r="BN364" s="123"/>
      <c r="BO364" s="123"/>
      <c r="BP364" s="123"/>
      <c r="BQ364" s="123"/>
      <c r="BR364" s="123"/>
      <c r="BS364" s="123"/>
      <c r="BT364" s="123"/>
      <c r="BU364" s="123"/>
      <c r="BV364" s="123"/>
      <c r="BW364" s="123"/>
      <c r="BX364" s="123"/>
      <c r="BY364" s="123"/>
      <c r="BZ364" s="123"/>
      <c r="CA364" s="123"/>
      <c r="CB364" s="123"/>
      <c r="CC364" s="123"/>
      <c r="CD364" s="123"/>
      <c r="CE364" s="123"/>
      <c r="CF364" s="123"/>
      <c r="CG364" s="123"/>
      <c r="CH364" s="123"/>
      <c r="CI364" s="123"/>
      <c r="CJ364" s="123"/>
      <c r="CK364" s="123"/>
      <c r="CL364" s="123"/>
      <c r="CM364" s="123"/>
      <c r="CN364" s="123"/>
      <c r="CO364" s="123"/>
      <c r="CP364" s="123"/>
      <c r="CQ364" s="123"/>
      <c r="CR364" s="123"/>
      <c r="CS364" s="123"/>
      <c r="CT364" s="123"/>
      <c r="CU364" s="123"/>
      <c r="CV364" s="123"/>
      <c r="CW364" s="123"/>
      <c r="CX364" s="123"/>
    </row>
    <row r="365" spans="1:102" s="138" customFormat="1" ht="47.25" x14ac:dyDescent="0.25">
      <c r="A365" s="25"/>
      <c r="B365" s="686" t="s">
        <v>130</v>
      </c>
      <c r="C365" s="496" t="s">
        <v>39</v>
      </c>
      <c r="D365" s="493">
        <v>54</v>
      </c>
      <c r="E365" s="493">
        <v>55.4</v>
      </c>
      <c r="F365" s="33" t="str">
        <f t="shared" si="3"/>
        <v>100</v>
      </c>
      <c r="G365" s="32"/>
      <c r="H365" s="679" t="s">
        <v>1102</v>
      </c>
      <c r="I365" s="123"/>
      <c r="J365" s="123"/>
      <c r="L365" s="123"/>
      <c r="M365" s="123"/>
      <c r="N365" s="123"/>
      <c r="O365" s="123"/>
      <c r="P365" s="123"/>
      <c r="Q365" s="123"/>
      <c r="R365" s="123"/>
      <c r="S365" s="123"/>
      <c r="T365" s="123"/>
      <c r="U365" s="123"/>
      <c r="V365" s="123"/>
      <c r="W365" s="123"/>
      <c r="X365" s="123"/>
      <c r="Y365" s="123"/>
      <c r="Z365" s="123"/>
      <c r="AA365" s="123"/>
      <c r="AB365" s="123"/>
      <c r="AC365" s="123"/>
      <c r="AD365" s="123"/>
      <c r="AE365" s="123"/>
      <c r="AF365" s="123"/>
      <c r="AG365" s="123"/>
      <c r="AH365" s="123"/>
      <c r="AI365" s="123"/>
      <c r="AJ365" s="123"/>
      <c r="AK365" s="123"/>
      <c r="AL365" s="123"/>
      <c r="AM365" s="123"/>
      <c r="AN365" s="123"/>
      <c r="AO365" s="123"/>
      <c r="AP365" s="123"/>
      <c r="AQ365" s="123"/>
      <c r="AR365" s="123"/>
      <c r="AS365" s="123"/>
      <c r="AT365" s="123"/>
      <c r="AU365" s="123"/>
      <c r="AV365" s="123"/>
      <c r="AW365" s="123"/>
      <c r="AX365" s="123"/>
      <c r="AY365" s="123"/>
      <c r="AZ365" s="123"/>
      <c r="BA365" s="123"/>
      <c r="BB365" s="123"/>
      <c r="BC365" s="123"/>
      <c r="BD365" s="123"/>
      <c r="BE365" s="123"/>
      <c r="BF365" s="123"/>
      <c r="BG365" s="123"/>
      <c r="BH365" s="123"/>
      <c r="BI365" s="123"/>
      <c r="BJ365" s="123"/>
      <c r="BK365" s="123"/>
      <c r="BL365" s="123"/>
      <c r="BM365" s="123"/>
      <c r="BN365" s="123"/>
      <c r="BO365" s="123"/>
      <c r="BP365" s="123"/>
      <c r="BQ365" s="123"/>
      <c r="BR365" s="123"/>
      <c r="BS365" s="123"/>
      <c r="BT365" s="123"/>
      <c r="BU365" s="123"/>
      <c r="BV365" s="123"/>
      <c r="BW365" s="123"/>
      <c r="BX365" s="123"/>
      <c r="BY365" s="123"/>
      <c r="BZ365" s="123"/>
      <c r="CA365" s="123"/>
      <c r="CB365" s="123"/>
      <c r="CC365" s="123"/>
      <c r="CD365" s="123"/>
      <c r="CE365" s="123"/>
      <c r="CF365" s="123"/>
      <c r="CG365" s="123"/>
      <c r="CH365" s="123"/>
      <c r="CI365" s="123"/>
      <c r="CJ365" s="123"/>
      <c r="CK365" s="123"/>
      <c r="CL365" s="123"/>
      <c r="CM365" s="123"/>
      <c r="CN365" s="123"/>
      <c r="CO365" s="123"/>
      <c r="CP365" s="123"/>
      <c r="CQ365" s="123"/>
      <c r="CR365" s="123"/>
      <c r="CS365" s="123"/>
      <c r="CT365" s="123"/>
      <c r="CU365" s="123"/>
      <c r="CV365" s="123"/>
      <c r="CW365" s="123"/>
      <c r="CX365" s="123"/>
    </row>
    <row r="366" spans="1:102" s="138" customFormat="1" ht="63" x14ac:dyDescent="0.25">
      <c r="A366" s="25"/>
      <c r="B366" s="686" t="s">
        <v>131</v>
      </c>
      <c r="C366" s="29" t="s">
        <v>52</v>
      </c>
      <c r="D366" s="495">
        <v>25</v>
      </c>
      <c r="E366" s="495">
        <v>0</v>
      </c>
      <c r="F366" s="33">
        <f t="shared" si="3"/>
        <v>0</v>
      </c>
      <c r="G366" s="32"/>
      <c r="H366" s="679" t="s">
        <v>1103</v>
      </c>
      <c r="I366" s="123"/>
      <c r="J366" s="123"/>
      <c r="K366" s="23">
        <v>1</v>
      </c>
      <c r="L366" s="123"/>
      <c r="M366" s="123"/>
      <c r="N366" s="123"/>
      <c r="O366" s="123"/>
      <c r="P366" s="123"/>
      <c r="Q366" s="123"/>
      <c r="R366" s="123"/>
      <c r="S366" s="123"/>
      <c r="T366" s="123"/>
      <c r="U366" s="123"/>
      <c r="V366" s="123"/>
      <c r="W366" s="123"/>
      <c r="X366" s="123"/>
      <c r="Y366" s="123"/>
      <c r="Z366" s="123"/>
      <c r="AA366" s="123"/>
      <c r="AB366" s="123"/>
      <c r="AC366" s="123"/>
      <c r="AD366" s="123"/>
      <c r="AE366" s="123"/>
      <c r="AF366" s="123"/>
      <c r="AG366" s="123"/>
      <c r="AH366" s="123"/>
      <c r="AI366" s="123"/>
      <c r="AJ366" s="123"/>
      <c r="AK366" s="123"/>
      <c r="AL366" s="123"/>
      <c r="AM366" s="123"/>
      <c r="AN366" s="123"/>
      <c r="AO366" s="123"/>
      <c r="AP366" s="123"/>
      <c r="AQ366" s="123"/>
      <c r="AR366" s="123"/>
      <c r="AS366" s="123"/>
      <c r="AT366" s="123"/>
      <c r="AU366" s="123"/>
      <c r="AV366" s="123"/>
      <c r="AW366" s="123"/>
      <c r="AX366" s="123"/>
      <c r="AY366" s="123"/>
      <c r="AZ366" s="123"/>
      <c r="BA366" s="123"/>
      <c r="BB366" s="123"/>
      <c r="BC366" s="123"/>
      <c r="BD366" s="123"/>
      <c r="BE366" s="123"/>
      <c r="BF366" s="123"/>
      <c r="BG366" s="123"/>
      <c r="BH366" s="123"/>
      <c r="BI366" s="123"/>
      <c r="BJ366" s="123"/>
      <c r="BK366" s="123"/>
      <c r="BL366" s="123"/>
      <c r="BM366" s="123"/>
      <c r="BN366" s="123"/>
      <c r="BO366" s="123"/>
      <c r="BP366" s="123"/>
      <c r="BQ366" s="123"/>
      <c r="BR366" s="123"/>
      <c r="BS366" s="123"/>
      <c r="BT366" s="123"/>
      <c r="BU366" s="123"/>
      <c r="BV366" s="123"/>
      <c r="BW366" s="123"/>
      <c r="BX366" s="123"/>
      <c r="BY366" s="123"/>
      <c r="BZ366" s="123"/>
      <c r="CA366" s="123"/>
      <c r="CB366" s="123"/>
      <c r="CC366" s="123"/>
      <c r="CD366" s="123"/>
      <c r="CE366" s="123"/>
      <c r="CF366" s="123"/>
      <c r="CG366" s="123"/>
      <c r="CH366" s="123"/>
      <c r="CI366" s="123"/>
      <c r="CJ366" s="123"/>
      <c r="CK366" s="123"/>
      <c r="CL366" s="123"/>
      <c r="CM366" s="123"/>
      <c r="CN366" s="123"/>
      <c r="CO366" s="123"/>
      <c r="CP366" s="123"/>
      <c r="CQ366" s="123"/>
      <c r="CR366" s="123"/>
      <c r="CS366" s="123"/>
      <c r="CT366" s="123"/>
      <c r="CU366" s="123"/>
      <c r="CV366" s="123"/>
      <c r="CW366" s="123"/>
      <c r="CX366" s="123"/>
    </row>
    <row r="367" spans="1:102" s="138" customFormat="1" ht="47.25" x14ac:dyDescent="0.25">
      <c r="A367" s="25"/>
      <c r="B367" s="686" t="s">
        <v>132</v>
      </c>
      <c r="C367" s="29" t="s">
        <v>52</v>
      </c>
      <c r="D367" s="494">
        <v>150</v>
      </c>
      <c r="E367" s="494">
        <v>163</v>
      </c>
      <c r="F367" s="33" t="str">
        <f t="shared" si="3"/>
        <v>100</v>
      </c>
      <c r="G367" s="32"/>
      <c r="H367" s="679" t="s">
        <v>1104</v>
      </c>
      <c r="I367" s="123"/>
      <c r="J367" s="123"/>
      <c r="L367" s="123"/>
      <c r="M367" s="123"/>
      <c r="N367" s="123"/>
      <c r="O367" s="123"/>
      <c r="P367" s="123"/>
      <c r="Q367" s="123"/>
      <c r="R367" s="123"/>
      <c r="S367" s="123"/>
      <c r="T367" s="123"/>
      <c r="U367" s="123"/>
      <c r="V367" s="123"/>
      <c r="W367" s="123"/>
      <c r="X367" s="123"/>
      <c r="Y367" s="123"/>
      <c r="Z367" s="123"/>
      <c r="AA367" s="123"/>
      <c r="AB367" s="123"/>
      <c r="AC367" s="123"/>
      <c r="AD367" s="123"/>
      <c r="AE367" s="123"/>
      <c r="AF367" s="123"/>
      <c r="AG367" s="123"/>
      <c r="AH367" s="123"/>
      <c r="AI367" s="123"/>
      <c r="AJ367" s="123"/>
      <c r="AK367" s="123"/>
      <c r="AL367" s="123"/>
      <c r="AM367" s="123"/>
      <c r="AN367" s="123"/>
      <c r="AO367" s="123"/>
      <c r="AP367" s="123"/>
      <c r="AQ367" s="123"/>
      <c r="AR367" s="123"/>
      <c r="AS367" s="123"/>
      <c r="AT367" s="123"/>
      <c r="AU367" s="123"/>
      <c r="AV367" s="123"/>
      <c r="AW367" s="123"/>
      <c r="AX367" s="123"/>
      <c r="AY367" s="123"/>
      <c r="AZ367" s="123"/>
      <c r="BA367" s="123"/>
      <c r="BB367" s="123"/>
      <c r="BC367" s="123"/>
      <c r="BD367" s="123"/>
      <c r="BE367" s="123"/>
      <c r="BF367" s="123"/>
      <c r="BG367" s="123"/>
      <c r="BH367" s="123"/>
      <c r="BI367" s="123"/>
      <c r="BJ367" s="123"/>
      <c r="BK367" s="123"/>
      <c r="BL367" s="123"/>
      <c r="BM367" s="123"/>
      <c r="BN367" s="123"/>
      <c r="BO367" s="123"/>
      <c r="BP367" s="123"/>
      <c r="BQ367" s="123"/>
      <c r="BR367" s="123"/>
      <c r="BS367" s="123"/>
      <c r="BT367" s="123"/>
      <c r="BU367" s="123"/>
      <c r="BV367" s="123"/>
      <c r="BW367" s="123"/>
      <c r="BX367" s="123"/>
      <c r="BY367" s="123"/>
      <c r="BZ367" s="123"/>
      <c r="CA367" s="123"/>
      <c r="CB367" s="123"/>
      <c r="CC367" s="123"/>
      <c r="CD367" s="123"/>
      <c r="CE367" s="123"/>
      <c r="CF367" s="123"/>
      <c r="CG367" s="123"/>
      <c r="CH367" s="123"/>
      <c r="CI367" s="123"/>
      <c r="CJ367" s="123"/>
      <c r="CK367" s="123"/>
      <c r="CL367" s="123"/>
      <c r="CM367" s="123"/>
      <c r="CN367" s="123"/>
      <c r="CO367" s="123"/>
      <c r="CP367" s="123"/>
      <c r="CQ367" s="123"/>
      <c r="CR367" s="123"/>
      <c r="CS367" s="123"/>
      <c r="CT367" s="123"/>
      <c r="CU367" s="123"/>
      <c r="CV367" s="123"/>
      <c r="CW367" s="123"/>
      <c r="CX367" s="123"/>
    </row>
    <row r="368" spans="1:102" s="138" customFormat="1" ht="47.25" x14ac:dyDescent="0.25">
      <c r="A368" s="25"/>
      <c r="B368" s="686" t="s">
        <v>133</v>
      </c>
      <c r="C368" s="496" t="s">
        <v>39</v>
      </c>
      <c r="D368" s="493">
        <v>16</v>
      </c>
      <c r="E368" s="493">
        <v>17.100000000000001</v>
      </c>
      <c r="F368" s="33" t="str">
        <f t="shared" si="3"/>
        <v>100</v>
      </c>
      <c r="G368" s="32"/>
      <c r="H368" s="679" t="s">
        <v>1105</v>
      </c>
      <c r="I368" s="123"/>
      <c r="J368" s="123"/>
      <c r="L368" s="123"/>
      <c r="M368" s="123"/>
      <c r="N368" s="123"/>
      <c r="O368" s="123"/>
      <c r="P368" s="123"/>
      <c r="Q368" s="123"/>
      <c r="R368" s="123"/>
      <c r="S368" s="123"/>
      <c r="T368" s="123"/>
      <c r="U368" s="123"/>
      <c r="V368" s="123"/>
      <c r="W368" s="123"/>
      <c r="X368" s="123"/>
      <c r="Y368" s="123"/>
      <c r="Z368" s="123"/>
      <c r="AA368" s="123"/>
      <c r="AB368" s="123"/>
      <c r="AC368" s="123"/>
      <c r="AD368" s="123"/>
      <c r="AE368" s="123"/>
      <c r="AF368" s="123"/>
      <c r="AG368" s="123"/>
      <c r="AH368" s="123"/>
      <c r="AI368" s="123"/>
      <c r="AJ368" s="123"/>
      <c r="AK368" s="123"/>
      <c r="AL368" s="123"/>
      <c r="AM368" s="123"/>
      <c r="AN368" s="123"/>
      <c r="AO368" s="123"/>
      <c r="AP368" s="123"/>
      <c r="AQ368" s="123"/>
      <c r="AR368" s="123"/>
      <c r="AS368" s="123"/>
      <c r="AT368" s="123"/>
      <c r="AU368" s="123"/>
      <c r="AV368" s="123"/>
      <c r="AW368" s="123"/>
      <c r="AX368" s="123"/>
      <c r="AY368" s="123"/>
      <c r="AZ368" s="123"/>
      <c r="BA368" s="123"/>
      <c r="BB368" s="123"/>
      <c r="BC368" s="123"/>
      <c r="BD368" s="123"/>
      <c r="BE368" s="123"/>
      <c r="BF368" s="123"/>
      <c r="BG368" s="123"/>
      <c r="BH368" s="123"/>
      <c r="BI368" s="123"/>
      <c r="BJ368" s="123"/>
      <c r="BK368" s="123"/>
      <c r="BL368" s="123"/>
      <c r="BM368" s="123"/>
      <c r="BN368" s="123"/>
      <c r="BO368" s="123"/>
      <c r="BP368" s="123"/>
      <c r="BQ368" s="123"/>
      <c r="BR368" s="123"/>
      <c r="BS368" s="123"/>
      <c r="BT368" s="123"/>
      <c r="BU368" s="123"/>
      <c r="BV368" s="123"/>
      <c r="BW368" s="123"/>
      <c r="BX368" s="123"/>
      <c r="BY368" s="123"/>
      <c r="BZ368" s="123"/>
      <c r="CA368" s="123"/>
      <c r="CB368" s="123"/>
      <c r="CC368" s="123"/>
      <c r="CD368" s="123"/>
      <c r="CE368" s="123"/>
      <c r="CF368" s="123"/>
      <c r="CG368" s="123"/>
      <c r="CH368" s="123"/>
      <c r="CI368" s="123"/>
      <c r="CJ368" s="123"/>
      <c r="CK368" s="123"/>
      <c r="CL368" s="123"/>
      <c r="CM368" s="123"/>
      <c r="CN368" s="123"/>
      <c r="CO368" s="123"/>
      <c r="CP368" s="123"/>
      <c r="CQ368" s="123"/>
      <c r="CR368" s="123"/>
      <c r="CS368" s="123"/>
      <c r="CT368" s="123"/>
      <c r="CU368" s="123"/>
      <c r="CV368" s="123"/>
      <c r="CW368" s="123"/>
      <c r="CX368" s="123"/>
    </row>
    <row r="369" spans="1:102" s="22" customFormat="1" x14ac:dyDescent="0.25">
      <c r="A369" s="24"/>
      <c r="B369" s="815" t="s">
        <v>333</v>
      </c>
      <c r="C369" s="815"/>
      <c r="D369" s="815"/>
      <c r="E369" s="815"/>
      <c r="F369" s="815"/>
      <c r="G369" s="664"/>
      <c r="H369" s="231"/>
      <c r="I369" s="40"/>
      <c r="J369" s="40"/>
      <c r="K369" s="40"/>
      <c r="L369" s="40"/>
      <c r="M369" s="40"/>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row>
    <row r="370" spans="1:102" s="138" customFormat="1" x14ac:dyDescent="0.25">
      <c r="A370" s="25"/>
      <c r="B370" s="794" t="s">
        <v>334</v>
      </c>
      <c r="C370" s="794"/>
      <c r="D370" s="794"/>
      <c r="E370" s="794"/>
      <c r="F370" s="794"/>
      <c r="G370" s="32"/>
      <c r="H370" s="216"/>
      <c r="I370" s="123"/>
      <c r="J370" s="123"/>
      <c r="K370" s="123"/>
      <c r="L370" s="123"/>
      <c r="M370" s="123"/>
      <c r="N370" s="123"/>
      <c r="O370" s="123"/>
      <c r="P370" s="123"/>
      <c r="Q370" s="123"/>
      <c r="R370" s="123"/>
      <c r="S370" s="123"/>
      <c r="T370" s="123"/>
      <c r="U370" s="123"/>
      <c r="V370" s="123"/>
      <c r="W370" s="123"/>
      <c r="X370" s="123"/>
      <c r="Y370" s="123"/>
      <c r="Z370" s="123"/>
      <c r="AA370" s="123"/>
      <c r="AB370" s="123"/>
      <c r="AC370" s="123"/>
      <c r="AD370" s="123"/>
      <c r="AE370" s="123"/>
      <c r="AF370" s="123"/>
      <c r="AG370" s="123"/>
      <c r="AH370" s="123"/>
      <c r="AI370" s="123"/>
      <c r="AJ370" s="123"/>
      <c r="AK370" s="123"/>
      <c r="AL370" s="123"/>
      <c r="AM370" s="123"/>
      <c r="AN370" s="123"/>
      <c r="AO370" s="123"/>
      <c r="AP370" s="123"/>
      <c r="AQ370" s="123"/>
      <c r="AR370" s="123"/>
      <c r="AS370" s="123"/>
      <c r="AT370" s="123"/>
      <c r="AU370" s="123"/>
      <c r="AV370" s="123"/>
      <c r="AW370" s="123"/>
      <c r="AX370" s="123"/>
      <c r="AY370" s="123"/>
      <c r="AZ370" s="123"/>
      <c r="BA370" s="123"/>
      <c r="BB370" s="123"/>
      <c r="BC370" s="123"/>
      <c r="BD370" s="123"/>
      <c r="BE370" s="123"/>
      <c r="BF370" s="123"/>
      <c r="BG370" s="123"/>
      <c r="BH370" s="123"/>
      <c r="BI370" s="123"/>
      <c r="BJ370" s="123"/>
      <c r="BK370" s="123"/>
      <c r="BL370" s="123"/>
      <c r="BM370" s="123"/>
      <c r="BN370" s="123"/>
      <c r="BO370" s="123"/>
      <c r="BP370" s="123"/>
      <c r="BQ370" s="123"/>
      <c r="BR370" s="123"/>
      <c r="BS370" s="123"/>
      <c r="BT370" s="123"/>
      <c r="BU370" s="123"/>
      <c r="BV370" s="123"/>
      <c r="BW370" s="123"/>
      <c r="BX370" s="123"/>
      <c r="BY370" s="123"/>
      <c r="BZ370" s="123"/>
      <c r="CA370" s="123"/>
      <c r="CB370" s="123"/>
      <c r="CC370" s="123"/>
      <c r="CD370" s="123"/>
      <c r="CE370" s="123"/>
      <c r="CF370" s="123"/>
      <c r="CG370" s="123"/>
      <c r="CH370" s="123"/>
      <c r="CI370" s="123"/>
      <c r="CJ370" s="123"/>
      <c r="CK370" s="123"/>
      <c r="CL370" s="123"/>
      <c r="CM370" s="123"/>
      <c r="CN370" s="123"/>
      <c r="CO370" s="123"/>
      <c r="CP370" s="123"/>
      <c r="CQ370" s="123"/>
      <c r="CR370" s="123"/>
      <c r="CS370" s="123"/>
      <c r="CT370" s="123"/>
      <c r="CU370" s="123"/>
      <c r="CV370" s="123"/>
      <c r="CW370" s="123"/>
      <c r="CX370" s="123"/>
    </row>
    <row r="371" spans="1:102" s="138" customFormat="1" ht="63" x14ac:dyDescent="0.25">
      <c r="A371" s="25"/>
      <c r="B371" s="686" t="s">
        <v>134</v>
      </c>
      <c r="C371" s="29" t="s">
        <v>39</v>
      </c>
      <c r="D371" s="493">
        <v>30</v>
      </c>
      <c r="E371" s="493">
        <v>96.5</v>
      </c>
      <c r="F371" s="33" t="str">
        <f>IF((E371/D371*100)&gt;100,"100",E371/D371*100)</f>
        <v>100</v>
      </c>
      <c r="G371" s="32"/>
      <c r="H371" s="672" t="s">
        <v>1106</v>
      </c>
      <c r="I371" s="123"/>
      <c r="J371" s="123"/>
      <c r="L371" s="123"/>
      <c r="M371" s="123"/>
      <c r="N371" s="123"/>
      <c r="O371" s="123"/>
      <c r="P371" s="123"/>
      <c r="Q371" s="123"/>
      <c r="R371" s="123"/>
      <c r="S371" s="123"/>
      <c r="T371" s="123"/>
      <c r="U371" s="123"/>
      <c r="V371" s="123"/>
      <c r="W371" s="123"/>
      <c r="X371" s="123"/>
      <c r="Y371" s="123"/>
      <c r="Z371" s="123"/>
      <c r="AA371" s="123"/>
      <c r="AB371" s="123"/>
      <c r="AC371" s="123"/>
      <c r="AD371" s="123"/>
      <c r="AE371" s="123"/>
      <c r="AF371" s="123"/>
      <c r="AG371" s="123"/>
      <c r="AH371" s="123"/>
      <c r="AI371" s="123"/>
      <c r="AJ371" s="123"/>
      <c r="AK371" s="123"/>
      <c r="AL371" s="123"/>
      <c r="AM371" s="123"/>
      <c r="AN371" s="123"/>
      <c r="AO371" s="123"/>
      <c r="AP371" s="123"/>
      <c r="AQ371" s="123"/>
      <c r="AR371" s="123"/>
      <c r="AS371" s="123"/>
      <c r="AT371" s="123"/>
      <c r="AU371" s="123"/>
      <c r="AV371" s="123"/>
      <c r="AW371" s="123"/>
      <c r="AX371" s="123"/>
      <c r="AY371" s="123"/>
      <c r="AZ371" s="123"/>
      <c r="BA371" s="123"/>
      <c r="BB371" s="123"/>
      <c r="BC371" s="123"/>
      <c r="BD371" s="123"/>
      <c r="BE371" s="123"/>
      <c r="BF371" s="123"/>
      <c r="BG371" s="123"/>
      <c r="BH371" s="123"/>
      <c r="BI371" s="123"/>
      <c r="BJ371" s="123"/>
      <c r="BK371" s="123"/>
      <c r="BL371" s="123"/>
      <c r="BM371" s="123"/>
      <c r="BN371" s="123"/>
      <c r="BO371" s="123"/>
      <c r="BP371" s="123"/>
      <c r="BQ371" s="123"/>
      <c r="BR371" s="123"/>
      <c r="BS371" s="123"/>
      <c r="BT371" s="123"/>
      <c r="BU371" s="123"/>
      <c r="BV371" s="123"/>
      <c r="BW371" s="123"/>
      <c r="BX371" s="123"/>
      <c r="BY371" s="123"/>
      <c r="BZ371" s="123"/>
      <c r="CA371" s="123"/>
      <c r="CB371" s="123"/>
      <c r="CC371" s="123"/>
      <c r="CD371" s="123"/>
      <c r="CE371" s="123"/>
      <c r="CF371" s="123"/>
      <c r="CG371" s="123"/>
      <c r="CH371" s="123"/>
      <c r="CI371" s="123"/>
      <c r="CJ371" s="123"/>
      <c r="CK371" s="123"/>
      <c r="CL371" s="123"/>
      <c r="CM371" s="123"/>
      <c r="CN371" s="123"/>
      <c r="CO371" s="123"/>
      <c r="CP371" s="123"/>
      <c r="CQ371" s="123"/>
      <c r="CR371" s="123"/>
      <c r="CS371" s="123"/>
      <c r="CT371" s="123"/>
      <c r="CU371" s="123"/>
      <c r="CV371" s="123"/>
      <c r="CW371" s="123"/>
      <c r="CX371" s="123"/>
    </row>
    <row r="372" spans="1:102" s="138" customFormat="1" ht="63" x14ac:dyDescent="0.25">
      <c r="A372" s="25"/>
      <c r="B372" s="686" t="s">
        <v>135</v>
      </c>
      <c r="C372" s="29" t="s">
        <v>39</v>
      </c>
      <c r="D372" s="493">
        <v>50</v>
      </c>
      <c r="E372" s="493">
        <v>77.5</v>
      </c>
      <c r="F372" s="33" t="str">
        <f>IF((E372/D372*100)&gt;100,"100",E372/D372*100)</f>
        <v>100</v>
      </c>
      <c r="G372" s="32"/>
      <c r="H372" s="677" t="s">
        <v>1107</v>
      </c>
      <c r="I372" s="123"/>
      <c r="J372" s="123"/>
      <c r="L372" s="123"/>
      <c r="M372" s="123"/>
      <c r="N372" s="123"/>
      <c r="O372" s="123"/>
      <c r="P372" s="123"/>
      <c r="Q372" s="123"/>
      <c r="R372" s="123"/>
      <c r="S372" s="123"/>
      <c r="T372" s="123"/>
      <c r="U372" s="123"/>
      <c r="V372" s="123"/>
      <c r="W372" s="123"/>
      <c r="X372" s="123"/>
      <c r="Y372" s="123"/>
      <c r="Z372" s="123"/>
      <c r="AA372" s="123"/>
      <c r="AB372" s="123"/>
      <c r="AC372" s="123"/>
      <c r="AD372" s="123"/>
      <c r="AE372" s="123"/>
      <c r="AF372" s="123"/>
      <c r="AG372" s="123"/>
      <c r="AH372" s="123"/>
      <c r="AI372" s="123"/>
      <c r="AJ372" s="123"/>
      <c r="AK372" s="123"/>
      <c r="AL372" s="123"/>
      <c r="AM372" s="123"/>
      <c r="AN372" s="123"/>
      <c r="AO372" s="123"/>
      <c r="AP372" s="123"/>
      <c r="AQ372" s="123"/>
      <c r="AR372" s="123"/>
      <c r="AS372" s="123"/>
      <c r="AT372" s="123"/>
      <c r="AU372" s="123"/>
      <c r="AV372" s="123"/>
      <c r="AW372" s="123"/>
      <c r="AX372" s="123"/>
      <c r="AY372" s="123"/>
      <c r="AZ372" s="123"/>
      <c r="BA372" s="123"/>
      <c r="BB372" s="123"/>
      <c r="BC372" s="123"/>
      <c r="BD372" s="123"/>
      <c r="BE372" s="123"/>
      <c r="BF372" s="123"/>
      <c r="BG372" s="123"/>
      <c r="BH372" s="123"/>
      <c r="BI372" s="123"/>
      <c r="BJ372" s="123"/>
      <c r="BK372" s="123"/>
      <c r="BL372" s="123"/>
      <c r="BM372" s="123"/>
      <c r="BN372" s="123"/>
      <c r="BO372" s="123"/>
      <c r="BP372" s="123"/>
      <c r="BQ372" s="123"/>
      <c r="BR372" s="123"/>
      <c r="BS372" s="123"/>
      <c r="BT372" s="123"/>
      <c r="BU372" s="123"/>
      <c r="BV372" s="123"/>
      <c r="BW372" s="123"/>
      <c r="BX372" s="123"/>
      <c r="BY372" s="123"/>
      <c r="BZ372" s="123"/>
      <c r="CA372" s="123"/>
      <c r="CB372" s="123"/>
      <c r="CC372" s="123"/>
      <c r="CD372" s="123"/>
      <c r="CE372" s="123"/>
      <c r="CF372" s="123"/>
      <c r="CG372" s="123"/>
      <c r="CH372" s="123"/>
      <c r="CI372" s="123"/>
      <c r="CJ372" s="123"/>
      <c r="CK372" s="123"/>
      <c r="CL372" s="123"/>
      <c r="CM372" s="123"/>
      <c r="CN372" s="123"/>
      <c r="CO372" s="123"/>
      <c r="CP372" s="123"/>
      <c r="CQ372" s="123"/>
      <c r="CR372" s="123"/>
      <c r="CS372" s="123"/>
      <c r="CT372" s="123"/>
      <c r="CU372" s="123"/>
      <c r="CV372" s="123"/>
      <c r="CW372" s="123"/>
      <c r="CX372" s="123"/>
    </row>
    <row r="373" spans="1:102" s="138" customFormat="1" x14ac:dyDescent="0.25">
      <c r="A373" s="25"/>
      <c r="B373" s="794" t="s">
        <v>335</v>
      </c>
      <c r="C373" s="794"/>
      <c r="D373" s="794"/>
      <c r="E373" s="794"/>
      <c r="F373" s="794"/>
      <c r="G373" s="32"/>
      <c r="H373" s="216"/>
      <c r="I373" s="123"/>
      <c r="J373" s="123"/>
      <c r="K373" s="123"/>
      <c r="L373" s="123"/>
      <c r="M373" s="123"/>
      <c r="N373" s="123"/>
      <c r="O373" s="123"/>
      <c r="P373" s="123"/>
      <c r="Q373" s="123"/>
      <c r="R373" s="123"/>
      <c r="S373" s="123"/>
      <c r="T373" s="123"/>
      <c r="U373" s="123"/>
      <c r="V373" s="123"/>
      <c r="W373" s="123"/>
      <c r="X373" s="123"/>
      <c r="Y373" s="123"/>
      <c r="Z373" s="123"/>
      <c r="AA373" s="123"/>
      <c r="AB373" s="123"/>
      <c r="AC373" s="123"/>
      <c r="AD373" s="123"/>
      <c r="AE373" s="123"/>
      <c r="AF373" s="123"/>
      <c r="AG373" s="123"/>
      <c r="AH373" s="123"/>
      <c r="AI373" s="123"/>
      <c r="AJ373" s="123"/>
      <c r="AK373" s="123"/>
      <c r="AL373" s="123"/>
      <c r="AM373" s="123"/>
      <c r="AN373" s="123"/>
      <c r="AO373" s="123"/>
      <c r="AP373" s="123"/>
      <c r="AQ373" s="123"/>
      <c r="AR373" s="123"/>
      <c r="AS373" s="123"/>
      <c r="AT373" s="123"/>
      <c r="AU373" s="123"/>
      <c r="AV373" s="123"/>
      <c r="AW373" s="123"/>
      <c r="AX373" s="123"/>
      <c r="AY373" s="123"/>
      <c r="AZ373" s="123"/>
      <c r="BA373" s="123"/>
      <c r="BB373" s="123"/>
      <c r="BC373" s="123"/>
      <c r="BD373" s="123"/>
      <c r="BE373" s="123"/>
      <c r="BF373" s="123"/>
      <c r="BG373" s="123"/>
      <c r="BH373" s="123"/>
      <c r="BI373" s="123"/>
      <c r="BJ373" s="123"/>
      <c r="BK373" s="123"/>
      <c r="BL373" s="123"/>
      <c r="BM373" s="123"/>
      <c r="BN373" s="123"/>
      <c r="BO373" s="123"/>
      <c r="BP373" s="123"/>
      <c r="BQ373" s="123"/>
      <c r="BR373" s="123"/>
      <c r="BS373" s="123"/>
      <c r="BT373" s="123"/>
      <c r="BU373" s="123"/>
      <c r="BV373" s="123"/>
      <c r="BW373" s="123"/>
      <c r="BX373" s="123"/>
      <c r="BY373" s="123"/>
      <c r="BZ373" s="123"/>
      <c r="CA373" s="123"/>
      <c r="CB373" s="123"/>
      <c r="CC373" s="123"/>
      <c r="CD373" s="123"/>
      <c r="CE373" s="123"/>
      <c r="CF373" s="123"/>
      <c r="CG373" s="123"/>
      <c r="CH373" s="123"/>
      <c r="CI373" s="123"/>
      <c r="CJ373" s="123"/>
      <c r="CK373" s="123"/>
      <c r="CL373" s="123"/>
      <c r="CM373" s="123"/>
      <c r="CN373" s="123"/>
      <c r="CO373" s="123"/>
      <c r="CP373" s="123"/>
      <c r="CQ373" s="123"/>
      <c r="CR373" s="123"/>
      <c r="CS373" s="123"/>
      <c r="CT373" s="123"/>
      <c r="CU373" s="123"/>
      <c r="CV373" s="123"/>
      <c r="CW373" s="123"/>
      <c r="CX373" s="123"/>
    </row>
    <row r="374" spans="1:102" s="138" customFormat="1" ht="31.5" x14ac:dyDescent="0.25">
      <c r="A374" s="25"/>
      <c r="B374" s="686" t="s">
        <v>136</v>
      </c>
      <c r="C374" s="192" t="s">
        <v>39</v>
      </c>
      <c r="D374" s="493">
        <v>100</v>
      </c>
      <c r="E374" s="493">
        <v>100</v>
      </c>
      <c r="F374" s="33">
        <f>IF((E374/D374*100)&gt;100,"100",E374/D374*100)</f>
        <v>100</v>
      </c>
      <c r="G374" s="32"/>
      <c r="H374" s="672" t="s">
        <v>1108</v>
      </c>
      <c r="I374" s="123"/>
      <c r="J374" s="123"/>
      <c r="L374" s="123"/>
      <c r="M374" s="123"/>
      <c r="N374" s="123"/>
      <c r="O374" s="123"/>
      <c r="P374" s="123"/>
      <c r="Q374" s="123"/>
      <c r="R374" s="123"/>
      <c r="S374" s="123"/>
      <c r="T374" s="123"/>
      <c r="U374" s="123"/>
      <c r="V374" s="123"/>
      <c r="W374" s="123"/>
      <c r="X374" s="123"/>
      <c r="Y374" s="123"/>
      <c r="Z374" s="123"/>
      <c r="AA374" s="123"/>
      <c r="AB374" s="123"/>
      <c r="AC374" s="123"/>
      <c r="AD374" s="123"/>
      <c r="AE374" s="123"/>
      <c r="AF374" s="123"/>
      <c r="AG374" s="123"/>
      <c r="AH374" s="123"/>
      <c r="AI374" s="123"/>
      <c r="AJ374" s="123"/>
      <c r="AK374" s="123"/>
      <c r="AL374" s="123"/>
      <c r="AM374" s="123"/>
      <c r="AN374" s="123"/>
      <c r="AO374" s="123"/>
      <c r="AP374" s="123"/>
      <c r="AQ374" s="123"/>
      <c r="AR374" s="123"/>
      <c r="AS374" s="123"/>
      <c r="AT374" s="123"/>
      <c r="AU374" s="123"/>
      <c r="AV374" s="123"/>
      <c r="AW374" s="123"/>
      <c r="AX374" s="123"/>
      <c r="AY374" s="123"/>
      <c r="AZ374" s="123"/>
      <c r="BA374" s="123"/>
      <c r="BB374" s="123"/>
      <c r="BC374" s="123"/>
      <c r="BD374" s="123"/>
      <c r="BE374" s="123"/>
      <c r="BF374" s="123"/>
      <c r="BG374" s="123"/>
      <c r="BH374" s="123"/>
      <c r="BI374" s="123"/>
      <c r="BJ374" s="123"/>
      <c r="BK374" s="123"/>
      <c r="BL374" s="123"/>
      <c r="BM374" s="123"/>
      <c r="BN374" s="123"/>
      <c r="BO374" s="123"/>
      <c r="BP374" s="123"/>
      <c r="BQ374" s="123"/>
      <c r="BR374" s="123"/>
      <c r="BS374" s="123"/>
      <c r="BT374" s="123"/>
      <c r="BU374" s="123"/>
      <c r="BV374" s="123"/>
      <c r="BW374" s="123"/>
      <c r="BX374" s="123"/>
      <c r="BY374" s="123"/>
      <c r="BZ374" s="123"/>
      <c r="CA374" s="123"/>
      <c r="CB374" s="123"/>
      <c r="CC374" s="123"/>
      <c r="CD374" s="123"/>
      <c r="CE374" s="123"/>
      <c r="CF374" s="123"/>
      <c r="CG374" s="123"/>
      <c r="CH374" s="123"/>
      <c r="CI374" s="123"/>
      <c r="CJ374" s="123"/>
      <c r="CK374" s="123"/>
      <c r="CL374" s="123"/>
      <c r="CM374" s="123"/>
      <c r="CN374" s="123"/>
      <c r="CO374" s="123"/>
      <c r="CP374" s="123"/>
      <c r="CQ374" s="123"/>
      <c r="CR374" s="123"/>
      <c r="CS374" s="123"/>
      <c r="CT374" s="123"/>
      <c r="CU374" s="123"/>
      <c r="CV374" s="123"/>
      <c r="CW374" s="123"/>
      <c r="CX374" s="123"/>
    </row>
    <row r="375" spans="1:102" s="138" customFormat="1" ht="63" x14ac:dyDescent="0.25">
      <c r="A375" s="25"/>
      <c r="B375" s="685" t="s">
        <v>137</v>
      </c>
      <c r="C375" s="192" t="s">
        <v>39</v>
      </c>
      <c r="D375" s="493">
        <v>15</v>
      </c>
      <c r="E375" s="493">
        <v>18.100000000000001</v>
      </c>
      <c r="F375" s="33" t="str">
        <f>IF((E375/D375*100)&gt;100,"100",E375/D375*100)</f>
        <v>100</v>
      </c>
      <c r="G375" s="32"/>
      <c r="H375" s="677" t="s">
        <v>1109</v>
      </c>
      <c r="I375" s="123"/>
      <c r="J375" s="123"/>
      <c r="L375" s="123"/>
      <c r="M375" s="123"/>
      <c r="N375" s="123"/>
      <c r="O375" s="123"/>
      <c r="P375" s="123"/>
      <c r="Q375" s="123"/>
      <c r="R375" s="123"/>
      <c r="S375" s="123"/>
      <c r="T375" s="123"/>
      <c r="U375" s="123"/>
      <c r="V375" s="123"/>
      <c r="W375" s="123"/>
      <c r="X375" s="123"/>
      <c r="Y375" s="123"/>
      <c r="Z375" s="123"/>
      <c r="AA375" s="123"/>
      <c r="AB375" s="123"/>
      <c r="AC375" s="123"/>
      <c r="AD375" s="123"/>
      <c r="AE375" s="123"/>
      <c r="AF375" s="123"/>
      <c r="AG375" s="123"/>
      <c r="AH375" s="123"/>
      <c r="AI375" s="123"/>
      <c r="AJ375" s="123"/>
      <c r="AK375" s="123"/>
      <c r="AL375" s="123"/>
      <c r="AM375" s="123"/>
      <c r="AN375" s="123"/>
      <c r="AO375" s="123"/>
      <c r="AP375" s="123"/>
      <c r="AQ375" s="123"/>
      <c r="AR375" s="123"/>
      <c r="AS375" s="123"/>
      <c r="AT375" s="123"/>
      <c r="AU375" s="123"/>
      <c r="AV375" s="123"/>
      <c r="AW375" s="123"/>
      <c r="AX375" s="123"/>
      <c r="AY375" s="123"/>
      <c r="AZ375" s="123"/>
      <c r="BA375" s="123"/>
      <c r="BB375" s="123"/>
      <c r="BC375" s="123"/>
      <c r="BD375" s="123"/>
      <c r="BE375" s="123"/>
      <c r="BF375" s="123"/>
      <c r="BG375" s="123"/>
      <c r="BH375" s="123"/>
      <c r="BI375" s="123"/>
      <c r="BJ375" s="123"/>
      <c r="BK375" s="123"/>
      <c r="BL375" s="123"/>
      <c r="BM375" s="123"/>
      <c r="BN375" s="123"/>
      <c r="BO375" s="123"/>
      <c r="BP375" s="123"/>
      <c r="BQ375" s="123"/>
      <c r="BR375" s="123"/>
      <c r="BS375" s="123"/>
      <c r="BT375" s="123"/>
      <c r="BU375" s="123"/>
      <c r="BV375" s="123"/>
      <c r="BW375" s="123"/>
      <c r="BX375" s="123"/>
      <c r="BY375" s="123"/>
      <c r="BZ375" s="123"/>
      <c r="CA375" s="123"/>
      <c r="CB375" s="123"/>
      <c r="CC375" s="123"/>
      <c r="CD375" s="123"/>
      <c r="CE375" s="123"/>
      <c r="CF375" s="123"/>
      <c r="CG375" s="123"/>
      <c r="CH375" s="123"/>
      <c r="CI375" s="123"/>
      <c r="CJ375" s="123"/>
      <c r="CK375" s="123"/>
      <c r="CL375" s="123"/>
      <c r="CM375" s="123"/>
      <c r="CN375" s="123"/>
      <c r="CO375" s="123"/>
      <c r="CP375" s="123"/>
      <c r="CQ375" s="123"/>
      <c r="CR375" s="123"/>
      <c r="CS375" s="123"/>
      <c r="CT375" s="123"/>
      <c r="CU375" s="123"/>
      <c r="CV375" s="123"/>
      <c r="CW375" s="123"/>
      <c r="CX375" s="123"/>
    </row>
    <row r="376" spans="1:102" s="138" customFormat="1" ht="47.25" x14ac:dyDescent="0.25">
      <c r="A376" s="25"/>
      <c r="B376" s="685" t="s">
        <v>138</v>
      </c>
      <c r="C376" s="192" t="s">
        <v>39</v>
      </c>
      <c r="D376" s="493">
        <v>10</v>
      </c>
      <c r="E376" s="493">
        <v>14.7</v>
      </c>
      <c r="F376" s="33" t="str">
        <f>IF((E376/D376*100)&gt;100,"100",E376/D376*100)</f>
        <v>100</v>
      </c>
      <c r="G376" s="32"/>
      <c r="H376" s="677" t="s">
        <v>1110</v>
      </c>
      <c r="I376" s="123"/>
      <c r="J376" s="123"/>
      <c r="L376" s="123"/>
      <c r="M376" s="123"/>
      <c r="N376" s="123"/>
      <c r="O376" s="123"/>
      <c r="P376" s="123"/>
      <c r="Q376" s="123"/>
      <c r="R376" s="123"/>
      <c r="S376" s="123"/>
      <c r="T376" s="123"/>
      <c r="U376" s="123"/>
      <c r="V376" s="123"/>
      <c r="W376" s="123"/>
      <c r="X376" s="123"/>
      <c r="Y376" s="123"/>
      <c r="Z376" s="123"/>
      <c r="AA376" s="123"/>
      <c r="AB376" s="123"/>
      <c r="AC376" s="123"/>
      <c r="AD376" s="123"/>
      <c r="AE376" s="123"/>
      <c r="AF376" s="123"/>
      <c r="AG376" s="123"/>
      <c r="AH376" s="123"/>
      <c r="AI376" s="123"/>
      <c r="AJ376" s="123"/>
      <c r="AK376" s="123"/>
      <c r="AL376" s="123"/>
      <c r="AM376" s="123"/>
      <c r="AN376" s="123"/>
      <c r="AO376" s="123"/>
      <c r="AP376" s="123"/>
      <c r="AQ376" s="123"/>
      <c r="AR376" s="123"/>
      <c r="AS376" s="123"/>
      <c r="AT376" s="123"/>
      <c r="AU376" s="123"/>
      <c r="AV376" s="123"/>
      <c r="AW376" s="123"/>
      <c r="AX376" s="123"/>
      <c r="AY376" s="123"/>
      <c r="AZ376" s="123"/>
      <c r="BA376" s="123"/>
      <c r="BB376" s="123"/>
      <c r="BC376" s="123"/>
      <c r="BD376" s="123"/>
      <c r="BE376" s="123"/>
      <c r="BF376" s="123"/>
      <c r="BG376" s="123"/>
      <c r="BH376" s="123"/>
      <c r="BI376" s="123"/>
      <c r="BJ376" s="123"/>
      <c r="BK376" s="123"/>
      <c r="BL376" s="123"/>
      <c r="BM376" s="123"/>
      <c r="BN376" s="123"/>
      <c r="BO376" s="123"/>
      <c r="BP376" s="123"/>
      <c r="BQ376" s="123"/>
      <c r="BR376" s="123"/>
      <c r="BS376" s="123"/>
      <c r="BT376" s="123"/>
      <c r="BU376" s="123"/>
      <c r="BV376" s="123"/>
      <c r="BW376" s="123"/>
      <c r="BX376" s="123"/>
      <c r="BY376" s="123"/>
      <c r="BZ376" s="123"/>
      <c r="CA376" s="123"/>
      <c r="CB376" s="123"/>
      <c r="CC376" s="123"/>
      <c r="CD376" s="123"/>
      <c r="CE376" s="123"/>
      <c r="CF376" s="123"/>
      <c r="CG376" s="123"/>
      <c r="CH376" s="123"/>
      <c r="CI376" s="123"/>
      <c r="CJ376" s="123"/>
      <c r="CK376" s="123"/>
      <c r="CL376" s="123"/>
      <c r="CM376" s="123"/>
      <c r="CN376" s="123"/>
      <c r="CO376" s="123"/>
      <c r="CP376" s="123"/>
      <c r="CQ376" s="123"/>
      <c r="CR376" s="123"/>
      <c r="CS376" s="123"/>
      <c r="CT376" s="123"/>
      <c r="CU376" s="123"/>
      <c r="CV376" s="123"/>
      <c r="CW376" s="123"/>
      <c r="CX376" s="123"/>
    </row>
    <row r="377" spans="1:102" s="138" customFormat="1" ht="47.25" x14ac:dyDescent="0.25">
      <c r="A377" s="25"/>
      <c r="B377" s="685" t="s">
        <v>139</v>
      </c>
      <c r="C377" s="192" t="s">
        <v>39</v>
      </c>
      <c r="D377" s="493">
        <v>3</v>
      </c>
      <c r="E377" s="493">
        <v>4</v>
      </c>
      <c r="F377" s="33" t="str">
        <f>IF((E377/D377*100)&gt;100,"100",E377/D377*100)</f>
        <v>100</v>
      </c>
      <c r="G377" s="32"/>
      <c r="H377" s="677" t="s">
        <v>1111</v>
      </c>
      <c r="I377" s="123"/>
      <c r="J377" s="123"/>
      <c r="L377" s="123"/>
      <c r="M377" s="123"/>
      <c r="N377" s="123"/>
      <c r="O377" s="123"/>
      <c r="P377" s="123"/>
      <c r="Q377" s="123"/>
      <c r="R377" s="123"/>
      <c r="S377" s="123"/>
      <c r="T377" s="123"/>
      <c r="U377" s="123"/>
      <c r="V377" s="123"/>
      <c r="W377" s="123"/>
      <c r="X377" s="123"/>
      <c r="Y377" s="123"/>
      <c r="Z377" s="123"/>
      <c r="AA377" s="123"/>
      <c r="AB377" s="123"/>
      <c r="AC377" s="123"/>
      <c r="AD377" s="123"/>
      <c r="AE377" s="123"/>
      <c r="AF377" s="123"/>
      <c r="AG377" s="123"/>
      <c r="AH377" s="123"/>
      <c r="AI377" s="123"/>
      <c r="AJ377" s="123"/>
      <c r="AK377" s="123"/>
      <c r="AL377" s="123"/>
      <c r="AM377" s="123"/>
      <c r="AN377" s="123"/>
      <c r="AO377" s="123"/>
      <c r="AP377" s="123"/>
      <c r="AQ377" s="123"/>
      <c r="AR377" s="123"/>
      <c r="AS377" s="123"/>
      <c r="AT377" s="123"/>
      <c r="AU377" s="123"/>
      <c r="AV377" s="123"/>
      <c r="AW377" s="123"/>
      <c r="AX377" s="123"/>
      <c r="AY377" s="123"/>
      <c r="AZ377" s="123"/>
      <c r="BA377" s="123"/>
      <c r="BB377" s="123"/>
      <c r="BC377" s="123"/>
      <c r="BD377" s="123"/>
      <c r="BE377" s="123"/>
      <c r="BF377" s="123"/>
      <c r="BG377" s="123"/>
      <c r="BH377" s="123"/>
      <c r="BI377" s="123"/>
      <c r="BJ377" s="123"/>
      <c r="BK377" s="123"/>
      <c r="BL377" s="123"/>
      <c r="BM377" s="123"/>
      <c r="BN377" s="123"/>
      <c r="BO377" s="123"/>
      <c r="BP377" s="123"/>
      <c r="BQ377" s="123"/>
      <c r="BR377" s="123"/>
      <c r="BS377" s="123"/>
      <c r="BT377" s="123"/>
      <c r="BU377" s="123"/>
      <c r="BV377" s="123"/>
      <c r="BW377" s="123"/>
      <c r="BX377" s="123"/>
      <c r="BY377" s="123"/>
      <c r="BZ377" s="123"/>
      <c r="CA377" s="123"/>
      <c r="CB377" s="123"/>
      <c r="CC377" s="123"/>
      <c r="CD377" s="123"/>
      <c r="CE377" s="123"/>
      <c r="CF377" s="123"/>
      <c r="CG377" s="123"/>
      <c r="CH377" s="123"/>
      <c r="CI377" s="123"/>
      <c r="CJ377" s="123"/>
      <c r="CK377" s="123"/>
      <c r="CL377" s="123"/>
      <c r="CM377" s="123"/>
      <c r="CN377" s="123"/>
      <c r="CO377" s="123"/>
      <c r="CP377" s="123"/>
      <c r="CQ377" s="123"/>
      <c r="CR377" s="123"/>
      <c r="CS377" s="123"/>
      <c r="CT377" s="123"/>
      <c r="CU377" s="123"/>
      <c r="CV377" s="123"/>
      <c r="CW377" s="123"/>
      <c r="CX377" s="123"/>
    </row>
    <row r="378" spans="1:102" s="138" customFormat="1" ht="63" x14ac:dyDescent="0.25">
      <c r="A378" s="25"/>
      <c r="B378" s="687" t="s">
        <v>140</v>
      </c>
      <c r="C378" s="29" t="s">
        <v>69</v>
      </c>
      <c r="D378" s="495">
        <v>0</v>
      </c>
      <c r="E378" s="495">
        <v>0</v>
      </c>
      <c r="F378" s="33"/>
      <c r="G378" s="32"/>
      <c r="H378" s="216"/>
      <c r="I378" s="123"/>
      <c r="J378" s="123"/>
      <c r="K378" s="123"/>
      <c r="L378" s="123"/>
      <c r="M378" s="123"/>
      <c r="N378" s="123"/>
      <c r="O378" s="123"/>
      <c r="P378" s="123"/>
      <c r="Q378" s="123"/>
      <c r="R378" s="123"/>
      <c r="S378" s="123"/>
      <c r="T378" s="123"/>
      <c r="U378" s="123"/>
      <c r="V378" s="123"/>
      <c r="W378" s="123"/>
      <c r="X378" s="123"/>
      <c r="Y378" s="123"/>
      <c r="Z378" s="123"/>
      <c r="AA378" s="123"/>
      <c r="AB378" s="123"/>
      <c r="AC378" s="123"/>
      <c r="AD378" s="123"/>
      <c r="AE378" s="123"/>
      <c r="AF378" s="123"/>
      <c r="AG378" s="123"/>
      <c r="AH378" s="123"/>
      <c r="AI378" s="123"/>
      <c r="AJ378" s="123"/>
      <c r="AK378" s="123"/>
      <c r="AL378" s="123"/>
      <c r="AM378" s="123"/>
      <c r="AN378" s="123"/>
      <c r="AO378" s="123"/>
      <c r="AP378" s="123"/>
      <c r="AQ378" s="123"/>
      <c r="AR378" s="123"/>
      <c r="AS378" s="123"/>
      <c r="AT378" s="123"/>
      <c r="AU378" s="123"/>
      <c r="AV378" s="123"/>
      <c r="AW378" s="123"/>
      <c r="AX378" s="123"/>
      <c r="AY378" s="123"/>
      <c r="AZ378" s="123"/>
      <c r="BA378" s="123"/>
      <c r="BB378" s="123"/>
      <c r="BC378" s="123"/>
      <c r="BD378" s="123"/>
      <c r="BE378" s="123"/>
      <c r="BF378" s="123"/>
      <c r="BG378" s="123"/>
      <c r="BH378" s="123"/>
      <c r="BI378" s="123"/>
      <c r="BJ378" s="123"/>
      <c r="BK378" s="123"/>
      <c r="BL378" s="123"/>
      <c r="BM378" s="123"/>
      <c r="BN378" s="123"/>
      <c r="BO378" s="123"/>
      <c r="BP378" s="123"/>
      <c r="BQ378" s="123"/>
      <c r="BR378" s="123"/>
      <c r="BS378" s="123"/>
      <c r="BT378" s="123"/>
      <c r="BU378" s="123"/>
      <c r="BV378" s="123"/>
      <c r="BW378" s="123"/>
      <c r="BX378" s="123"/>
      <c r="BY378" s="123"/>
      <c r="BZ378" s="123"/>
      <c r="CA378" s="123"/>
      <c r="CB378" s="123"/>
      <c r="CC378" s="123"/>
      <c r="CD378" s="123"/>
      <c r="CE378" s="123"/>
      <c r="CF378" s="123"/>
      <c r="CG378" s="123"/>
      <c r="CH378" s="123"/>
      <c r="CI378" s="123"/>
      <c r="CJ378" s="123"/>
      <c r="CK378" s="123"/>
      <c r="CL378" s="123"/>
      <c r="CM378" s="123"/>
      <c r="CN378" s="123"/>
      <c r="CO378" s="123"/>
      <c r="CP378" s="123"/>
      <c r="CQ378" s="123"/>
      <c r="CR378" s="123"/>
      <c r="CS378" s="123"/>
      <c r="CT378" s="123"/>
      <c r="CU378" s="123"/>
      <c r="CV378" s="123"/>
      <c r="CW378" s="123"/>
      <c r="CX378" s="123"/>
    </row>
    <row r="379" spans="1:102" s="138" customFormat="1" x14ac:dyDescent="0.25">
      <c r="A379" s="25"/>
      <c r="B379" s="794" t="s">
        <v>336</v>
      </c>
      <c r="C379" s="794"/>
      <c r="D379" s="794"/>
      <c r="E379" s="794"/>
      <c r="F379" s="794"/>
      <c r="G379" s="32"/>
      <c r="H379" s="216"/>
      <c r="I379" s="123"/>
      <c r="J379" s="123"/>
      <c r="K379" s="123"/>
      <c r="L379" s="123"/>
      <c r="M379" s="123"/>
      <c r="N379" s="123"/>
      <c r="O379" s="123"/>
      <c r="P379" s="123"/>
      <c r="Q379" s="123"/>
      <c r="R379" s="123"/>
      <c r="S379" s="123"/>
      <c r="T379" s="123"/>
      <c r="U379" s="123"/>
      <c r="V379" s="123"/>
      <c r="W379" s="123"/>
      <c r="X379" s="123"/>
      <c r="Y379" s="123"/>
      <c r="Z379" s="123"/>
      <c r="AA379" s="123"/>
      <c r="AB379" s="123"/>
      <c r="AC379" s="123"/>
      <c r="AD379" s="123"/>
      <c r="AE379" s="123"/>
      <c r="AF379" s="123"/>
      <c r="AG379" s="123"/>
      <c r="AH379" s="123"/>
      <c r="AI379" s="123"/>
      <c r="AJ379" s="123"/>
      <c r="AK379" s="123"/>
      <c r="AL379" s="123"/>
      <c r="AM379" s="123"/>
      <c r="AN379" s="123"/>
      <c r="AO379" s="123"/>
      <c r="AP379" s="123"/>
      <c r="AQ379" s="123"/>
      <c r="AR379" s="123"/>
      <c r="AS379" s="123"/>
      <c r="AT379" s="123"/>
      <c r="AU379" s="123"/>
      <c r="AV379" s="123"/>
      <c r="AW379" s="123"/>
      <c r="AX379" s="123"/>
      <c r="AY379" s="123"/>
      <c r="AZ379" s="123"/>
      <c r="BA379" s="123"/>
      <c r="BB379" s="123"/>
      <c r="BC379" s="123"/>
      <c r="BD379" s="123"/>
      <c r="BE379" s="123"/>
      <c r="BF379" s="123"/>
      <c r="BG379" s="123"/>
      <c r="BH379" s="123"/>
      <c r="BI379" s="123"/>
      <c r="BJ379" s="123"/>
      <c r="BK379" s="123"/>
      <c r="BL379" s="123"/>
      <c r="BM379" s="123"/>
      <c r="BN379" s="123"/>
      <c r="BO379" s="123"/>
      <c r="BP379" s="123"/>
      <c r="BQ379" s="123"/>
      <c r="BR379" s="123"/>
      <c r="BS379" s="123"/>
      <c r="BT379" s="123"/>
      <c r="BU379" s="123"/>
      <c r="BV379" s="123"/>
      <c r="BW379" s="123"/>
      <c r="BX379" s="123"/>
      <c r="BY379" s="123"/>
      <c r="BZ379" s="123"/>
      <c r="CA379" s="123"/>
      <c r="CB379" s="123"/>
      <c r="CC379" s="123"/>
      <c r="CD379" s="123"/>
      <c r="CE379" s="123"/>
      <c r="CF379" s="123"/>
      <c r="CG379" s="123"/>
      <c r="CH379" s="123"/>
      <c r="CI379" s="123"/>
      <c r="CJ379" s="123"/>
      <c r="CK379" s="123"/>
      <c r="CL379" s="123"/>
      <c r="CM379" s="123"/>
      <c r="CN379" s="123"/>
      <c r="CO379" s="123"/>
      <c r="CP379" s="123"/>
      <c r="CQ379" s="123"/>
      <c r="CR379" s="123"/>
      <c r="CS379" s="123"/>
      <c r="CT379" s="123"/>
      <c r="CU379" s="123"/>
      <c r="CV379" s="123"/>
      <c r="CW379" s="123"/>
      <c r="CX379" s="123"/>
    </row>
    <row r="380" spans="1:102" s="138" customFormat="1" ht="38.25" x14ac:dyDescent="0.25">
      <c r="A380" s="25"/>
      <c r="B380" s="686" t="s">
        <v>141</v>
      </c>
      <c r="C380" s="29" t="s">
        <v>39</v>
      </c>
      <c r="D380" s="497">
        <v>98.9</v>
      </c>
      <c r="E380" s="497">
        <v>99</v>
      </c>
      <c r="F380" s="33" t="str">
        <f>IF((E380/D380*100)&gt;100,"100",E380/D380*100)</f>
        <v>100</v>
      </c>
      <c r="G380" s="32"/>
      <c r="H380" s="680" t="s">
        <v>1112</v>
      </c>
      <c r="I380" s="123"/>
      <c r="J380" s="123"/>
      <c r="L380" s="123"/>
      <c r="M380" s="123"/>
      <c r="N380" s="123"/>
      <c r="O380" s="123"/>
      <c r="P380" s="123"/>
      <c r="Q380" s="123"/>
      <c r="R380" s="123"/>
      <c r="S380" s="123"/>
      <c r="T380" s="123"/>
      <c r="U380" s="123"/>
      <c r="V380" s="123"/>
      <c r="W380" s="123"/>
      <c r="X380" s="123"/>
      <c r="Y380" s="123"/>
      <c r="Z380" s="123"/>
      <c r="AA380" s="123"/>
      <c r="AB380" s="123"/>
      <c r="AC380" s="123"/>
      <c r="AD380" s="123"/>
      <c r="AE380" s="123"/>
      <c r="AF380" s="123"/>
      <c r="AG380" s="123"/>
      <c r="AH380" s="123"/>
      <c r="AI380" s="123"/>
      <c r="AJ380" s="123"/>
      <c r="AK380" s="123"/>
      <c r="AL380" s="123"/>
      <c r="AM380" s="123"/>
      <c r="AN380" s="123"/>
      <c r="AO380" s="123"/>
      <c r="AP380" s="123"/>
      <c r="AQ380" s="123"/>
      <c r="AR380" s="123"/>
      <c r="AS380" s="123"/>
      <c r="AT380" s="123"/>
      <c r="AU380" s="123"/>
      <c r="AV380" s="123"/>
      <c r="AW380" s="123"/>
      <c r="AX380" s="123"/>
      <c r="AY380" s="123"/>
      <c r="AZ380" s="123"/>
      <c r="BA380" s="123"/>
      <c r="BB380" s="123"/>
      <c r="BC380" s="123"/>
      <c r="BD380" s="123"/>
      <c r="BE380" s="123"/>
      <c r="BF380" s="123"/>
      <c r="BG380" s="123"/>
      <c r="BH380" s="123"/>
      <c r="BI380" s="123"/>
      <c r="BJ380" s="123"/>
      <c r="BK380" s="123"/>
      <c r="BL380" s="123"/>
      <c r="BM380" s="123"/>
      <c r="BN380" s="123"/>
      <c r="BO380" s="123"/>
      <c r="BP380" s="123"/>
      <c r="BQ380" s="123"/>
      <c r="BR380" s="123"/>
      <c r="BS380" s="123"/>
      <c r="BT380" s="123"/>
      <c r="BU380" s="123"/>
      <c r="BV380" s="123"/>
      <c r="BW380" s="123"/>
      <c r="BX380" s="123"/>
      <c r="BY380" s="123"/>
      <c r="BZ380" s="123"/>
      <c r="CA380" s="123"/>
      <c r="CB380" s="123"/>
      <c r="CC380" s="123"/>
      <c r="CD380" s="123"/>
      <c r="CE380" s="123"/>
      <c r="CF380" s="123"/>
      <c r="CG380" s="123"/>
      <c r="CH380" s="123"/>
      <c r="CI380" s="123"/>
      <c r="CJ380" s="123"/>
      <c r="CK380" s="123"/>
      <c r="CL380" s="123"/>
      <c r="CM380" s="123"/>
      <c r="CN380" s="123"/>
      <c r="CO380" s="123"/>
      <c r="CP380" s="123"/>
      <c r="CQ380" s="123"/>
      <c r="CR380" s="123"/>
      <c r="CS380" s="123"/>
      <c r="CT380" s="123"/>
      <c r="CU380" s="123"/>
      <c r="CV380" s="123"/>
      <c r="CW380" s="123"/>
      <c r="CX380" s="123"/>
    </row>
    <row r="381" spans="1:102" s="138" customFormat="1" ht="63.75" x14ac:dyDescent="0.25">
      <c r="A381" s="25"/>
      <c r="B381" s="686" t="s">
        <v>142</v>
      </c>
      <c r="C381" s="29" t="s">
        <v>69</v>
      </c>
      <c r="D381" s="495">
        <v>16</v>
      </c>
      <c r="E381" s="495">
        <v>15</v>
      </c>
      <c r="F381" s="204">
        <f>IF((E381/D381*100)&gt;100,"100",E381/D381*100)</f>
        <v>93.75</v>
      </c>
      <c r="G381" s="32"/>
      <c r="H381" s="681" t="s">
        <v>1113</v>
      </c>
      <c r="I381" s="123"/>
      <c r="J381" s="123"/>
      <c r="K381" s="123"/>
      <c r="L381" s="123"/>
      <c r="M381" s="123"/>
      <c r="N381" s="123"/>
      <c r="O381" s="123"/>
      <c r="P381" s="123"/>
      <c r="Q381" s="123"/>
      <c r="R381" s="123"/>
      <c r="S381" s="123"/>
      <c r="T381" s="123"/>
      <c r="U381" s="123"/>
      <c r="V381" s="123"/>
      <c r="W381" s="123"/>
      <c r="X381" s="123"/>
      <c r="Y381" s="123"/>
      <c r="Z381" s="123"/>
      <c r="AA381" s="123"/>
      <c r="AB381" s="123"/>
      <c r="AC381" s="123"/>
      <c r="AD381" s="123"/>
      <c r="AE381" s="123"/>
      <c r="AF381" s="123"/>
      <c r="AG381" s="123"/>
      <c r="AH381" s="123"/>
      <c r="AI381" s="123"/>
      <c r="AJ381" s="123"/>
      <c r="AK381" s="123"/>
      <c r="AL381" s="123"/>
      <c r="AM381" s="123"/>
      <c r="AN381" s="123"/>
      <c r="AO381" s="123"/>
      <c r="AP381" s="123"/>
      <c r="AQ381" s="123"/>
      <c r="AR381" s="123"/>
      <c r="AS381" s="123"/>
      <c r="AT381" s="123"/>
      <c r="AU381" s="123"/>
      <c r="AV381" s="123"/>
      <c r="AW381" s="123"/>
      <c r="AX381" s="123"/>
      <c r="AY381" s="123"/>
      <c r="AZ381" s="123"/>
      <c r="BA381" s="123"/>
      <c r="BB381" s="123"/>
      <c r="BC381" s="123"/>
      <c r="BD381" s="123"/>
      <c r="BE381" s="123"/>
      <c r="BF381" s="123"/>
      <c r="BG381" s="123"/>
      <c r="BH381" s="123"/>
      <c r="BI381" s="123"/>
      <c r="BJ381" s="123"/>
      <c r="BK381" s="123"/>
      <c r="BL381" s="123"/>
      <c r="BM381" s="123"/>
      <c r="BN381" s="123"/>
      <c r="BO381" s="123"/>
      <c r="BP381" s="123"/>
      <c r="BQ381" s="123"/>
      <c r="BR381" s="123"/>
      <c r="BS381" s="123"/>
      <c r="BT381" s="123"/>
      <c r="BU381" s="123"/>
      <c r="BV381" s="123"/>
      <c r="BW381" s="123"/>
      <c r="BX381" s="123"/>
      <c r="BY381" s="123"/>
      <c r="BZ381" s="123"/>
      <c r="CA381" s="123"/>
      <c r="CB381" s="123"/>
      <c r="CC381" s="123"/>
      <c r="CD381" s="123"/>
      <c r="CE381" s="123"/>
      <c r="CF381" s="123"/>
      <c r="CG381" s="123"/>
      <c r="CH381" s="123"/>
      <c r="CI381" s="123"/>
      <c r="CJ381" s="123"/>
      <c r="CK381" s="123"/>
      <c r="CL381" s="123"/>
      <c r="CM381" s="123"/>
      <c r="CN381" s="123"/>
      <c r="CO381" s="123"/>
      <c r="CP381" s="123"/>
      <c r="CQ381" s="123"/>
      <c r="CR381" s="123"/>
      <c r="CS381" s="123"/>
      <c r="CT381" s="123"/>
      <c r="CU381" s="123"/>
      <c r="CV381" s="123"/>
      <c r="CW381" s="123"/>
      <c r="CX381" s="123"/>
    </row>
    <row r="382" spans="1:102" s="138" customFormat="1" ht="63.75" x14ac:dyDescent="0.25">
      <c r="A382" s="25"/>
      <c r="B382" s="686" t="s">
        <v>143</v>
      </c>
      <c r="C382" s="29" t="s">
        <v>52</v>
      </c>
      <c r="D382" s="495">
        <v>1</v>
      </c>
      <c r="E382" s="495">
        <v>1</v>
      </c>
      <c r="F382" s="33">
        <f>IF((E382/D382*100)&gt;100,"100",E382/D382*100)</f>
        <v>100</v>
      </c>
      <c r="G382" s="32"/>
      <c r="H382" s="681" t="s">
        <v>1114</v>
      </c>
      <c r="I382" s="123"/>
      <c r="J382" s="123"/>
      <c r="L382" s="123"/>
      <c r="M382" s="123"/>
      <c r="N382" s="123"/>
      <c r="O382" s="123"/>
      <c r="P382" s="123"/>
      <c r="Q382" s="123"/>
      <c r="R382" s="123"/>
      <c r="S382" s="123"/>
      <c r="T382" s="123"/>
      <c r="U382" s="123"/>
      <c r="V382" s="123"/>
      <c r="W382" s="123"/>
      <c r="X382" s="123"/>
      <c r="Y382" s="123"/>
      <c r="Z382" s="123"/>
      <c r="AA382" s="123"/>
      <c r="AB382" s="123"/>
      <c r="AC382" s="123"/>
      <c r="AD382" s="123"/>
      <c r="AE382" s="123"/>
      <c r="AF382" s="123"/>
      <c r="AG382" s="123"/>
      <c r="AH382" s="123"/>
      <c r="AI382" s="123"/>
      <c r="AJ382" s="123"/>
      <c r="AK382" s="123"/>
      <c r="AL382" s="123"/>
      <c r="AM382" s="123"/>
      <c r="AN382" s="123"/>
      <c r="AO382" s="123"/>
      <c r="AP382" s="123"/>
      <c r="AQ382" s="123"/>
      <c r="AR382" s="123"/>
      <c r="AS382" s="123"/>
      <c r="AT382" s="123"/>
      <c r="AU382" s="123"/>
      <c r="AV382" s="123"/>
      <c r="AW382" s="123"/>
      <c r="AX382" s="123"/>
      <c r="AY382" s="123"/>
      <c r="AZ382" s="123"/>
      <c r="BA382" s="123"/>
      <c r="BB382" s="123"/>
      <c r="BC382" s="123"/>
      <c r="BD382" s="123"/>
      <c r="BE382" s="123"/>
      <c r="BF382" s="123"/>
      <c r="BG382" s="123"/>
      <c r="BH382" s="123"/>
      <c r="BI382" s="123"/>
      <c r="BJ382" s="123"/>
      <c r="BK382" s="123"/>
      <c r="BL382" s="123"/>
      <c r="BM382" s="123"/>
      <c r="BN382" s="123"/>
      <c r="BO382" s="123"/>
      <c r="BP382" s="123"/>
      <c r="BQ382" s="123"/>
      <c r="BR382" s="123"/>
      <c r="BS382" s="123"/>
      <c r="BT382" s="123"/>
      <c r="BU382" s="123"/>
      <c r="BV382" s="123"/>
      <c r="BW382" s="123"/>
      <c r="BX382" s="123"/>
      <c r="BY382" s="123"/>
      <c r="BZ382" s="123"/>
      <c r="CA382" s="123"/>
      <c r="CB382" s="123"/>
      <c r="CC382" s="123"/>
      <c r="CD382" s="123"/>
      <c r="CE382" s="123"/>
      <c r="CF382" s="123"/>
      <c r="CG382" s="123"/>
      <c r="CH382" s="123"/>
      <c r="CI382" s="123"/>
      <c r="CJ382" s="123"/>
      <c r="CK382" s="123"/>
      <c r="CL382" s="123"/>
      <c r="CM382" s="123"/>
      <c r="CN382" s="123"/>
      <c r="CO382" s="123"/>
      <c r="CP382" s="123"/>
      <c r="CQ382" s="123"/>
      <c r="CR382" s="123"/>
      <c r="CS382" s="123"/>
      <c r="CT382" s="123"/>
      <c r="CU382" s="123"/>
      <c r="CV382" s="123"/>
      <c r="CW382" s="123"/>
      <c r="CX382" s="123"/>
    </row>
    <row r="383" spans="1:102" s="22" customFormat="1" x14ac:dyDescent="0.25">
      <c r="A383" s="24"/>
      <c r="B383" s="815" t="s">
        <v>337</v>
      </c>
      <c r="C383" s="815"/>
      <c r="D383" s="815"/>
      <c r="E383" s="815"/>
      <c r="F383" s="815"/>
      <c r="G383" s="664"/>
      <c r="H383" s="231"/>
      <c r="I383" s="40"/>
      <c r="J383" s="40"/>
      <c r="K383" s="40"/>
      <c r="L383" s="40"/>
      <c r="M383" s="40"/>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row>
    <row r="384" spans="1:102" s="138" customFormat="1" x14ac:dyDescent="0.25">
      <c r="A384" s="25"/>
      <c r="B384" s="794" t="s">
        <v>338</v>
      </c>
      <c r="C384" s="794"/>
      <c r="D384" s="794"/>
      <c r="E384" s="794"/>
      <c r="F384" s="794"/>
      <c r="G384" s="32"/>
      <c r="H384" s="216"/>
      <c r="I384" s="123"/>
      <c r="J384" s="123"/>
      <c r="K384" s="123"/>
      <c r="L384" s="123"/>
      <c r="M384" s="123"/>
      <c r="N384" s="123"/>
      <c r="O384" s="123"/>
      <c r="P384" s="123"/>
      <c r="Q384" s="123"/>
      <c r="R384" s="123"/>
      <c r="S384" s="123"/>
      <c r="T384" s="123"/>
      <c r="U384" s="123"/>
      <c r="V384" s="123"/>
      <c r="W384" s="123"/>
      <c r="X384" s="123"/>
      <c r="Y384" s="123"/>
      <c r="Z384" s="123"/>
      <c r="AA384" s="123"/>
      <c r="AB384" s="123"/>
      <c r="AC384" s="123"/>
      <c r="AD384" s="123"/>
      <c r="AE384" s="123"/>
      <c r="AF384" s="123"/>
      <c r="AG384" s="123"/>
      <c r="AH384" s="123"/>
      <c r="AI384" s="123"/>
      <c r="AJ384" s="123"/>
      <c r="AK384" s="123"/>
      <c r="AL384" s="123"/>
      <c r="AM384" s="123"/>
      <c r="AN384" s="123"/>
      <c r="AO384" s="123"/>
      <c r="AP384" s="123"/>
      <c r="AQ384" s="123"/>
      <c r="AR384" s="123"/>
      <c r="AS384" s="123"/>
      <c r="AT384" s="123"/>
      <c r="AU384" s="123"/>
      <c r="AV384" s="123"/>
      <c r="AW384" s="123"/>
      <c r="AX384" s="123"/>
      <c r="AY384" s="123"/>
      <c r="AZ384" s="123"/>
      <c r="BA384" s="123"/>
      <c r="BB384" s="123"/>
      <c r="BC384" s="123"/>
      <c r="BD384" s="123"/>
      <c r="BE384" s="123"/>
      <c r="BF384" s="123"/>
      <c r="BG384" s="123"/>
      <c r="BH384" s="123"/>
      <c r="BI384" s="123"/>
      <c r="BJ384" s="123"/>
      <c r="BK384" s="123"/>
      <c r="BL384" s="123"/>
      <c r="BM384" s="123"/>
      <c r="BN384" s="123"/>
      <c r="BO384" s="123"/>
      <c r="BP384" s="123"/>
      <c r="BQ384" s="123"/>
      <c r="BR384" s="123"/>
      <c r="BS384" s="123"/>
      <c r="BT384" s="123"/>
      <c r="BU384" s="123"/>
      <c r="BV384" s="123"/>
      <c r="BW384" s="123"/>
      <c r="BX384" s="123"/>
      <c r="BY384" s="123"/>
      <c r="BZ384" s="123"/>
      <c r="CA384" s="123"/>
      <c r="CB384" s="123"/>
      <c r="CC384" s="123"/>
      <c r="CD384" s="123"/>
      <c r="CE384" s="123"/>
      <c r="CF384" s="123"/>
      <c r="CG384" s="123"/>
      <c r="CH384" s="123"/>
      <c r="CI384" s="123"/>
      <c r="CJ384" s="123"/>
      <c r="CK384" s="123"/>
      <c r="CL384" s="123"/>
      <c r="CM384" s="123"/>
      <c r="CN384" s="123"/>
      <c r="CO384" s="123"/>
      <c r="CP384" s="123"/>
      <c r="CQ384" s="123"/>
      <c r="CR384" s="123"/>
      <c r="CS384" s="123"/>
      <c r="CT384" s="123"/>
      <c r="CU384" s="123"/>
      <c r="CV384" s="123"/>
      <c r="CW384" s="123"/>
      <c r="CX384" s="123"/>
    </row>
    <row r="385" spans="1:102" s="138" customFormat="1" ht="31.5" x14ac:dyDescent="0.25">
      <c r="A385" s="25"/>
      <c r="B385" s="683" t="s">
        <v>144</v>
      </c>
      <c r="C385" s="29" t="s">
        <v>39</v>
      </c>
      <c r="D385" s="236">
        <v>75</v>
      </c>
      <c r="E385" s="236">
        <v>75</v>
      </c>
      <c r="F385" s="33">
        <f>IF((E385/D385*100)&gt;100,"100",E385/D385*100)</f>
        <v>100</v>
      </c>
      <c r="G385" s="32"/>
      <c r="H385" s="682" t="s">
        <v>1115</v>
      </c>
      <c r="I385" s="123"/>
      <c r="J385" s="123"/>
      <c r="L385" s="123"/>
      <c r="M385" s="123"/>
      <c r="N385" s="123"/>
      <c r="O385" s="123"/>
      <c r="P385" s="123"/>
      <c r="Q385" s="123"/>
      <c r="R385" s="123"/>
      <c r="S385" s="123"/>
      <c r="T385" s="123"/>
      <c r="U385" s="123"/>
      <c r="V385" s="123"/>
      <c r="W385" s="123"/>
      <c r="X385" s="123"/>
      <c r="Y385" s="123"/>
      <c r="Z385" s="123"/>
      <c r="AA385" s="123"/>
      <c r="AB385" s="123"/>
      <c r="AC385" s="123"/>
      <c r="AD385" s="123"/>
      <c r="AE385" s="123"/>
      <c r="AF385" s="123"/>
      <c r="AG385" s="123"/>
      <c r="AH385" s="123"/>
      <c r="AI385" s="123"/>
      <c r="AJ385" s="123"/>
      <c r="AK385" s="123"/>
      <c r="AL385" s="123"/>
      <c r="AM385" s="123"/>
      <c r="AN385" s="123"/>
      <c r="AO385" s="123"/>
      <c r="AP385" s="123"/>
      <c r="AQ385" s="123"/>
      <c r="AR385" s="123"/>
      <c r="AS385" s="123"/>
      <c r="AT385" s="123"/>
      <c r="AU385" s="123"/>
      <c r="AV385" s="123"/>
      <c r="AW385" s="123"/>
      <c r="AX385" s="123"/>
      <c r="AY385" s="123"/>
      <c r="AZ385" s="123"/>
      <c r="BA385" s="123"/>
      <c r="BB385" s="123"/>
      <c r="BC385" s="123"/>
      <c r="BD385" s="123"/>
      <c r="BE385" s="123"/>
      <c r="BF385" s="123"/>
      <c r="BG385" s="123"/>
      <c r="BH385" s="123"/>
      <c r="BI385" s="123"/>
      <c r="BJ385" s="123"/>
      <c r="BK385" s="123"/>
      <c r="BL385" s="123"/>
      <c r="BM385" s="123"/>
      <c r="BN385" s="123"/>
      <c r="BO385" s="123"/>
      <c r="BP385" s="123"/>
      <c r="BQ385" s="123"/>
      <c r="BR385" s="123"/>
      <c r="BS385" s="123"/>
      <c r="BT385" s="123"/>
      <c r="BU385" s="123"/>
      <c r="BV385" s="123"/>
      <c r="BW385" s="123"/>
      <c r="BX385" s="123"/>
      <c r="BY385" s="123"/>
      <c r="BZ385" s="123"/>
      <c r="CA385" s="123"/>
      <c r="CB385" s="123"/>
      <c r="CC385" s="123"/>
      <c r="CD385" s="123"/>
      <c r="CE385" s="123"/>
      <c r="CF385" s="123"/>
      <c r="CG385" s="123"/>
      <c r="CH385" s="123"/>
      <c r="CI385" s="123"/>
      <c r="CJ385" s="123"/>
      <c r="CK385" s="123"/>
      <c r="CL385" s="123"/>
      <c r="CM385" s="123"/>
      <c r="CN385" s="123"/>
      <c r="CO385" s="123"/>
      <c r="CP385" s="123"/>
      <c r="CQ385" s="123"/>
      <c r="CR385" s="123"/>
      <c r="CS385" s="123"/>
      <c r="CT385" s="123"/>
      <c r="CU385" s="123"/>
      <c r="CV385" s="123"/>
      <c r="CW385" s="123"/>
      <c r="CX385" s="123"/>
    </row>
    <row r="386" spans="1:102" s="138" customFormat="1" ht="47.25" x14ac:dyDescent="0.25">
      <c r="A386" s="25"/>
      <c r="B386" s="683" t="s">
        <v>145</v>
      </c>
      <c r="C386" s="192" t="s">
        <v>39</v>
      </c>
      <c r="D386" s="498">
        <v>100</v>
      </c>
      <c r="E386" s="499">
        <v>100</v>
      </c>
      <c r="F386" s="33">
        <f>IF((E386/D386*100)&gt;100,"100",E386/D386*100)</f>
        <v>100</v>
      </c>
      <c r="G386" s="32"/>
      <c r="H386" s="682" t="s">
        <v>1116</v>
      </c>
      <c r="I386" s="123"/>
      <c r="J386" s="123"/>
      <c r="L386" s="123"/>
      <c r="M386" s="123"/>
      <c r="N386" s="123"/>
      <c r="O386" s="123"/>
      <c r="P386" s="123"/>
      <c r="Q386" s="123"/>
      <c r="R386" s="123"/>
      <c r="S386" s="123"/>
      <c r="T386" s="123"/>
      <c r="U386" s="123"/>
      <c r="V386" s="123"/>
      <c r="W386" s="123"/>
      <c r="X386" s="123"/>
      <c r="Y386" s="123"/>
      <c r="Z386" s="123"/>
      <c r="AA386" s="123"/>
      <c r="AB386" s="123"/>
      <c r="AC386" s="123"/>
      <c r="AD386" s="123"/>
      <c r="AE386" s="123"/>
      <c r="AF386" s="123"/>
      <c r="AG386" s="123"/>
      <c r="AH386" s="123"/>
      <c r="AI386" s="123"/>
      <c r="AJ386" s="123"/>
      <c r="AK386" s="123"/>
      <c r="AL386" s="123"/>
      <c r="AM386" s="123"/>
      <c r="AN386" s="123"/>
      <c r="AO386" s="123"/>
      <c r="AP386" s="123"/>
      <c r="AQ386" s="123"/>
      <c r="AR386" s="123"/>
      <c r="AS386" s="123"/>
      <c r="AT386" s="123"/>
      <c r="AU386" s="123"/>
      <c r="AV386" s="123"/>
      <c r="AW386" s="123"/>
      <c r="AX386" s="123"/>
      <c r="AY386" s="123"/>
      <c r="AZ386" s="123"/>
      <c r="BA386" s="123"/>
      <c r="BB386" s="123"/>
      <c r="BC386" s="123"/>
      <c r="BD386" s="123"/>
      <c r="BE386" s="123"/>
      <c r="BF386" s="123"/>
      <c r="BG386" s="123"/>
      <c r="BH386" s="123"/>
      <c r="BI386" s="123"/>
      <c r="BJ386" s="123"/>
      <c r="BK386" s="123"/>
      <c r="BL386" s="123"/>
      <c r="BM386" s="123"/>
      <c r="BN386" s="123"/>
      <c r="BO386" s="123"/>
      <c r="BP386" s="123"/>
      <c r="BQ386" s="123"/>
      <c r="BR386" s="123"/>
      <c r="BS386" s="123"/>
      <c r="BT386" s="123"/>
      <c r="BU386" s="123"/>
      <c r="BV386" s="123"/>
      <c r="BW386" s="123"/>
      <c r="BX386" s="123"/>
      <c r="BY386" s="123"/>
      <c r="BZ386" s="123"/>
      <c r="CA386" s="123"/>
      <c r="CB386" s="123"/>
      <c r="CC386" s="123"/>
      <c r="CD386" s="123"/>
      <c r="CE386" s="123"/>
      <c r="CF386" s="123"/>
      <c r="CG386" s="123"/>
      <c r="CH386" s="123"/>
      <c r="CI386" s="123"/>
      <c r="CJ386" s="123"/>
      <c r="CK386" s="123"/>
      <c r="CL386" s="123"/>
      <c r="CM386" s="123"/>
      <c r="CN386" s="123"/>
      <c r="CO386" s="123"/>
      <c r="CP386" s="123"/>
      <c r="CQ386" s="123"/>
      <c r="CR386" s="123"/>
      <c r="CS386" s="123"/>
      <c r="CT386" s="123"/>
      <c r="CU386" s="123"/>
      <c r="CV386" s="123"/>
      <c r="CW386" s="123"/>
      <c r="CX386" s="123"/>
    </row>
    <row r="387" spans="1:102" s="138" customFormat="1" x14ac:dyDescent="0.25">
      <c r="A387" s="25"/>
      <c r="B387" s="794" t="s">
        <v>339</v>
      </c>
      <c r="C387" s="794"/>
      <c r="D387" s="794"/>
      <c r="E387" s="794"/>
      <c r="F387" s="794"/>
      <c r="G387" s="32"/>
      <c r="H387" s="216"/>
      <c r="I387" s="123"/>
      <c r="J387" s="123"/>
      <c r="K387" s="123"/>
      <c r="L387" s="123"/>
      <c r="M387" s="123"/>
      <c r="N387" s="123"/>
      <c r="O387" s="123"/>
      <c r="P387" s="123"/>
      <c r="Q387" s="123"/>
      <c r="R387" s="123"/>
      <c r="S387" s="123"/>
      <c r="T387" s="123"/>
      <c r="U387" s="123"/>
      <c r="V387" s="123"/>
      <c r="W387" s="123"/>
      <c r="X387" s="123"/>
      <c r="Y387" s="123"/>
      <c r="Z387" s="123"/>
      <c r="AA387" s="123"/>
      <c r="AB387" s="123"/>
      <c r="AC387" s="123"/>
      <c r="AD387" s="123"/>
      <c r="AE387" s="123"/>
      <c r="AF387" s="123"/>
      <c r="AG387" s="123"/>
      <c r="AH387" s="123"/>
      <c r="AI387" s="123"/>
      <c r="AJ387" s="123"/>
      <c r="AK387" s="123"/>
      <c r="AL387" s="123"/>
      <c r="AM387" s="123"/>
      <c r="AN387" s="123"/>
      <c r="AO387" s="123"/>
      <c r="AP387" s="123"/>
      <c r="AQ387" s="123"/>
      <c r="AR387" s="123"/>
      <c r="AS387" s="123"/>
      <c r="AT387" s="123"/>
      <c r="AU387" s="123"/>
      <c r="AV387" s="123"/>
      <c r="AW387" s="123"/>
      <c r="AX387" s="123"/>
      <c r="AY387" s="123"/>
      <c r="AZ387" s="123"/>
      <c r="BA387" s="123"/>
      <c r="BB387" s="123"/>
      <c r="BC387" s="123"/>
      <c r="BD387" s="123"/>
      <c r="BE387" s="123"/>
      <c r="BF387" s="123"/>
      <c r="BG387" s="123"/>
      <c r="BH387" s="123"/>
      <c r="BI387" s="123"/>
      <c r="BJ387" s="123"/>
      <c r="BK387" s="123"/>
      <c r="BL387" s="123"/>
      <c r="BM387" s="123"/>
      <c r="BN387" s="123"/>
      <c r="BO387" s="123"/>
      <c r="BP387" s="123"/>
      <c r="BQ387" s="123"/>
      <c r="BR387" s="123"/>
      <c r="BS387" s="123"/>
      <c r="BT387" s="123"/>
      <c r="BU387" s="123"/>
      <c r="BV387" s="123"/>
      <c r="BW387" s="123"/>
      <c r="BX387" s="123"/>
      <c r="BY387" s="123"/>
      <c r="BZ387" s="123"/>
      <c r="CA387" s="123"/>
      <c r="CB387" s="123"/>
      <c r="CC387" s="123"/>
      <c r="CD387" s="123"/>
      <c r="CE387" s="123"/>
      <c r="CF387" s="123"/>
      <c r="CG387" s="123"/>
      <c r="CH387" s="123"/>
      <c r="CI387" s="123"/>
      <c r="CJ387" s="123"/>
      <c r="CK387" s="123"/>
      <c r="CL387" s="123"/>
      <c r="CM387" s="123"/>
      <c r="CN387" s="123"/>
      <c r="CO387" s="123"/>
      <c r="CP387" s="123"/>
      <c r="CQ387" s="123"/>
      <c r="CR387" s="123"/>
      <c r="CS387" s="123"/>
      <c r="CT387" s="123"/>
      <c r="CU387" s="123"/>
      <c r="CV387" s="123"/>
      <c r="CW387" s="123"/>
      <c r="CX387" s="123"/>
    </row>
    <row r="388" spans="1:102" s="138" customFormat="1" ht="31.5" x14ac:dyDescent="0.25">
      <c r="A388" s="25"/>
      <c r="B388" s="683" t="s">
        <v>146</v>
      </c>
      <c r="C388" s="192" t="s">
        <v>69</v>
      </c>
      <c r="D388" s="500">
        <v>1</v>
      </c>
      <c r="E388" s="500">
        <v>1</v>
      </c>
      <c r="F388" s="33">
        <f>IF((E388/D388*100)&gt;100,"100",E388/D388*100)</f>
        <v>100</v>
      </c>
      <c r="G388" s="32"/>
      <c r="H388" s="677" t="s">
        <v>1117</v>
      </c>
      <c r="I388" s="123"/>
      <c r="J388" s="123"/>
      <c r="L388" s="123"/>
      <c r="M388" s="123"/>
      <c r="N388" s="123"/>
      <c r="O388" s="123"/>
      <c r="P388" s="123"/>
      <c r="Q388" s="123"/>
      <c r="R388" s="123"/>
      <c r="S388" s="123"/>
      <c r="T388" s="123"/>
      <c r="U388" s="123"/>
      <c r="V388" s="123"/>
      <c r="W388" s="123"/>
      <c r="X388" s="123"/>
      <c r="Y388" s="123"/>
      <c r="Z388" s="123"/>
      <c r="AA388" s="123"/>
      <c r="AB388" s="123"/>
      <c r="AC388" s="123"/>
      <c r="AD388" s="123"/>
      <c r="AE388" s="123"/>
      <c r="AF388" s="123"/>
      <c r="AG388" s="123"/>
      <c r="AH388" s="123"/>
      <c r="AI388" s="123"/>
      <c r="AJ388" s="123"/>
      <c r="AK388" s="123"/>
      <c r="AL388" s="123"/>
      <c r="AM388" s="123"/>
      <c r="AN388" s="123"/>
      <c r="AO388" s="123"/>
      <c r="AP388" s="123"/>
      <c r="AQ388" s="123"/>
      <c r="AR388" s="123"/>
      <c r="AS388" s="123"/>
      <c r="AT388" s="123"/>
      <c r="AU388" s="123"/>
      <c r="AV388" s="123"/>
      <c r="AW388" s="123"/>
      <c r="AX388" s="123"/>
      <c r="AY388" s="123"/>
      <c r="AZ388" s="123"/>
      <c r="BA388" s="123"/>
      <c r="BB388" s="123"/>
      <c r="BC388" s="123"/>
      <c r="BD388" s="123"/>
      <c r="BE388" s="123"/>
      <c r="BF388" s="123"/>
      <c r="BG388" s="123"/>
      <c r="BH388" s="123"/>
      <c r="BI388" s="123"/>
      <c r="BJ388" s="123"/>
      <c r="BK388" s="123"/>
      <c r="BL388" s="123"/>
      <c r="BM388" s="123"/>
      <c r="BN388" s="123"/>
      <c r="BO388" s="123"/>
      <c r="BP388" s="123"/>
      <c r="BQ388" s="123"/>
      <c r="BR388" s="123"/>
      <c r="BS388" s="123"/>
      <c r="BT388" s="123"/>
      <c r="BU388" s="123"/>
      <c r="BV388" s="123"/>
      <c r="BW388" s="123"/>
      <c r="BX388" s="123"/>
      <c r="BY388" s="123"/>
      <c r="BZ388" s="123"/>
      <c r="CA388" s="123"/>
      <c r="CB388" s="123"/>
      <c r="CC388" s="123"/>
      <c r="CD388" s="123"/>
      <c r="CE388" s="123"/>
      <c r="CF388" s="123"/>
      <c r="CG388" s="123"/>
      <c r="CH388" s="123"/>
      <c r="CI388" s="123"/>
      <c r="CJ388" s="123"/>
      <c r="CK388" s="123"/>
      <c r="CL388" s="123"/>
      <c r="CM388" s="123"/>
      <c r="CN388" s="123"/>
      <c r="CO388" s="123"/>
      <c r="CP388" s="123"/>
      <c r="CQ388" s="123"/>
      <c r="CR388" s="123"/>
      <c r="CS388" s="123"/>
      <c r="CT388" s="123"/>
      <c r="CU388" s="123"/>
      <c r="CV388" s="123"/>
      <c r="CW388" s="123"/>
      <c r="CX388" s="123"/>
    </row>
    <row r="389" spans="1:102" s="22" customFormat="1" x14ac:dyDescent="0.25">
      <c r="A389" s="24"/>
      <c r="B389" s="815" t="s">
        <v>340</v>
      </c>
      <c r="C389" s="815"/>
      <c r="D389" s="815"/>
      <c r="E389" s="815"/>
      <c r="F389" s="815"/>
      <c r="G389" s="664"/>
      <c r="H389" s="231"/>
      <c r="I389" s="40"/>
      <c r="J389" s="40"/>
      <c r="K389" s="40"/>
      <c r="L389" s="40"/>
      <c r="M389" s="40"/>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row>
    <row r="390" spans="1:102" s="138" customFormat="1" x14ac:dyDescent="0.25">
      <c r="A390" s="25"/>
      <c r="B390" s="794" t="s">
        <v>341</v>
      </c>
      <c r="C390" s="794"/>
      <c r="D390" s="794"/>
      <c r="E390" s="794"/>
      <c r="F390" s="794"/>
      <c r="G390" s="32"/>
      <c r="H390" s="216"/>
      <c r="I390" s="123"/>
      <c r="J390" s="123"/>
      <c r="K390" s="123"/>
      <c r="L390" s="123"/>
      <c r="M390" s="123"/>
      <c r="N390" s="123"/>
      <c r="O390" s="123"/>
      <c r="P390" s="123"/>
      <c r="Q390" s="123"/>
      <c r="R390" s="123"/>
      <c r="S390" s="123"/>
      <c r="T390" s="123"/>
      <c r="U390" s="123"/>
      <c r="V390" s="123"/>
      <c r="W390" s="123"/>
      <c r="X390" s="123"/>
      <c r="Y390" s="123"/>
      <c r="Z390" s="123"/>
      <c r="AA390" s="123"/>
      <c r="AB390" s="123"/>
      <c r="AC390" s="123"/>
      <c r="AD390" s="123"/>
      <c r="AE390" s="123"/>
      <c r="AF390" s="123"/>
      <c r="AG390" s="123"/>
      <c r="AH390" s="123"/>
      <c r="AI390" s="123"/>
      <c r="AJ390" s="123"/>
      <c r="AK390" s="123"/>
      <c r="AL390" s="123"/>
      <c r="AM390" s="123"/>
      <c r="AN390" s="123"/>
      <c r="AO390" s="123"/>
      <c r="AP390" s="123"/>
      <c r="AQ390" s="123"/>
      <c r="AR390" s="123"/>
      <c r="AS390" s="123"/>
      <c r="AT390" s="123"/>
      <c r="AU390" s="123"/>
      <c r="AV390" s="123"/>
      <c r="AW390" s="123"/>
      <c r="AX390" s="123"/>
      <c r="AY390" s="123"/>
      <c r="AZ390" s="123"/>
      <c r="BA390" s="123"/>
      <c r="BB390" s="123"/>
      <c r="BC390" s="123"/>
      <c r="BD390" s="123"/>
      <c r="BE390" s="123"/>
      <c r="BF390" s="123"/>
      <c r="BG390" s="123"/>
      <c r="BH390" s="123"/>
      <c r="BI390" s="123"/>
      <c r="BJ390" s="123"/>
      <c r="BK390" s="123"/>
      <c r="BL390" s="123"/>
      <c r="BM390" s="123"/>
      <c r="BN390" s="123"/>
      <c r="BO390" s="123"/>
      <c r="BP390" s="123"/>
      <c r="BQ390" s="123"/>
      <c r="BR390" s="123"/>
      <c r="BS390" s="123"/>
      <c r="BT390" s="123"/>
      <c r="BU390" s="123"/>
      <c r="BV390" s="123"/>
      <c r="BW390" s="123"/>
      <c r="BX390" s="123"/>
      <c r="BY390" s="123"/>
      <c r="BZ390" s="123"/>
      <c r="CA390" s="123"/>
      <c r="CB390" s="123"/>
      <c r="CC390" s="123"/>
      <c r="CD390" s="123"/>
      <c r="CE390" s="123"/>
      <c r="CF390" s="123"/>
      <c r="CG390" s="123"/>
      <c r="CH390" s="123"/>
      <c r="CI390" s="123"/>
      <c r="CJ390" s="123"/>
      <c r="CK390" s="123"/>
      <c r="CL390" s="123"/>
      <c r="CM390" s="123"/>
      <c r="CN390" s="123"/>
      <c r="CO390" s="123"/>
      <c r="CP390" s="123"/>
      <c r="CQ390" s="123"/>
      <c r="CR390" s="123"/>
      <c r="CS390" s="123"/>
      <c r="CT390" s="123"/>
      <c r="CU390" s="123"/>
      <c r="CV390" s="123"/>
      <c r="CW390" s="123"/>
      <c r="CX390" s="123"/>
    </row>
    <row r="391" spans="1:102" s="138" customFormat="1" ht="31.5" x14ac:dyDescent="0.25">
      <c r="A391" s="25"/>
      <c r="B391" s="685" t="s">
        <v>147</v>
      </c>
      <c r="C391" s="192" t="s">
        <v>39</v>
      </c>
      <c r="D391" s="498">
        <v>80</v>
      </c>
      <c r="E391" s="499">
        <v>74.2</v>
      </c>
      <c r="F391" s="204">
        <f>IF((E391/D391*100)&gt;100,"100",E391/D391*100)</f>
        <v>92.75</v>
      </c>
      <c r="G391" s="32"/>
      <c r="H391" s="677" t="s">
        <v>1118</v>
      </c>
      <c r="I391" s="123"/>
      <c r="J391" s="123"/>
      <c r="K391" s="123"/>
      <c r="L391" s="123"/>
      <c r="M391" s="123"/>
      <c r="N391" s="123"/>
      <c r="O391" s="123"/>
      <c r="P391" s="123"/>
      <c r="Q391" s="123"/>
      <c r="R391" s="123"/>
      <c r="S391" s="123"/>
      <c r="T391" s="123"/>
      <c r="U391" s="123"/>
      <c r="V391" s="123"/>
      <c r="W391" s="123"/>
      <c r="X391" s="123"/>
      <c r="Y391" s="123"/>
      <c r="Z391" s="123"/>
      <c r="AA391" s="123"/>
      <c r="AB391" s="123"/>
      <c r="AC391" s="123"/>
      <c r="AD391" s="123"/>
      <c r="AE391" s="123"/>
      <c r="AF391" s="123"/>
      <c r="AG391" s="123"/>
      <c r="AH391" s="123"/>
      <c r="AI391" s="123"/>
      <c r="AJ391" s="123"/>
      <c r="AK391" s="123"/>
      <c r="AL391" s="123"/>
      <c r="AM391" s="123"/>
      <c r="AN391" s="123"/>
      <c r="AO391" s="123"/>
      <c r="AP391" s="123"/>
      <c r="AQ391" s="123"/>
      <c r="AR391" s="123"/>
      <c r="AS391" s="123"/>
      <c r="AT391" s="123"/>
      <c r="AU391" s="123"/>
      <c r="AV391" s="123"/>
      <c r="AW391" s="123"/>
      <c r="AX391" s="123"/>
      <c r="AY391" s="123"/>
      <c r="AZ391" s="123"/>
      <c r="BA391" s="123"/>
      <c r="BB391" s="123"/>
      <c r="BC391" s="123"/>
      <c r="BD391" s="123"/>
      <c r="BE391" s="123"/>
      <c r="BF391" s="123"/>
      <c r="BG391" s="123"/>
      <c r="BH391" s="123"/>
      <c r="BI391" s="123"/>
      <c r="BJ391" s="123"/>
      <c r="BK391" s="123"/>
      <c r="BL391" s="123"/>
      <c r="BM391" s="123"/>
      <c r="BN391" s="123"/>
      <c r="BO391" s="123"/>
      <c r="BP391" s="123"/>
      <c r="BQ391" s="123"/>
      <c r="BR391" s="123"/>
      <c r="BS391" s="123"/>
      <c r="BT391" s="123"/>
      <c r="BU391" s="123"/>
      <c r="BV391" s="123"/>
      <c r="BW391" s="123"/>
      <c r="BX391" s="123"/>
      <c r="BY391" s="123"/>
      <c r="BZ391" s="123"/>
      <c r="CA391" s="123"/>
      <c r="CB391" s="123"/>
      <c r="CC391" s="123"/>
      <c r="CD391" s="123"/>
      <c r="CE391" s="123"/>
      <c r="CF391" s="123"/>
      <c r="CG391" s="123"/>
      <c r="CH391" s="123"/>
      <c r="CI391" s="123"/>
      <c r="CJ391" s="123"/>
      <c r="CK391" s="123"/>
      <c r="CL391" s="123"/>
      <c r="CM391" s="123"/>
      <c r="CN391" s="123"/>
      <c r="CO391" s="123"/>
      <c r="CP391" s="123"/>
      <c r="CQ391" s="123"/>
      <c r="CR391" s="123"/>
      <c r="CS391" s="123"/>
      <c r="CT391" s="123"/>
      <c r="CU391" s="123"/>
      <c r="CV391" s="123"/>
      <c r="CW391" s="123"/>
      <c r="CX391" s="123"/>
    </row>
    <row r="392" spans="1:102" s="138" customFormat="1" ht="63" x14ac:dyDescent="0.25">
      <c r="A392" s="25"/>
      <c r="B392" s="687" t="s">
        <v>148</v>
      </c>
      <c r="C392" s="192" t="s">
        <v>69</v>
      </c>
      <c r="D392" s="500">
        <v>1</v>
      </c>
      <c r="E392" s="501">
        <v>2</v>
      </c>
      <c r="F392" s="33" t="str">
        <f>IF((E392/D392*100)&gt;100,"100",E392/D392*100)</f>
        <v>100</v>
      </c>
      <c r="G392" s="32"/>
      <c r="H392" s="677" t="s">
        <v>1119</v>
      </c>
      <c r="I392" s="123"/>
      <c r="J392" s="123"/>
      <c r="L392" s="123"/>
      <c r="M392" s="123"/>
      <c r="N392" s="123"/>
      <c r="O392" s="123"/>
      <c r="P392" s="123"/>
      <c r="Q392" s="123"/>
      <c r="R392" s="123"/>
      <c r="S392" s="123"/>
      <c r="T392" s="123"/>
      <c r="U392" s="123"/>
      <c r="V392" s="123"/>
      <c r="W392" s="123"/>
      <c r="X392" s="123"/>
      <c r="Y392" s="123"/>
      <c r="Z392" s="123"/>
      <c r="AA392" s="123"/>
      <c r="AB392" s="123"/>
      <c r="AC392" s="123"/>
      <c r="AD392" s="123"/>
      <c r="AE392" s="123"/>
      <c r="AF392" s="123"/>
      <c r="AG392" s="123"/>
      <c r="AH392" s="123"/>
      <c r="AI392" s="123"/>
      <c r="AJ392" s="123"/>
      <c r="AK392" s="123"/>
      <c r="AL392" s="123"/>
      <c r="AM392" s="123"/>
      <c r="AN392" s="123"/>
      <c r="AO392" s="123"/>
      <c r="AP392" s="123"/>
      <c r="AQ392" s="123"/>
      <c r="AR392" s="123"/>
      <c r="AS392" s="123"/>
      <c r="AT392" s="123"/>
      <c r="AU392" s="123"/>
      <c r="AV392" s="123"/>
      <c r="AW392" s="123"/>
      <c r="AX392" s="123"/>
      <c r="AY392" s="123"/>
      <c r="AZ392" s="123"/>
      <c r="BA392" s="123"/>
      <c r="BB392" s="123"/>
      <c r="BC392" s="123"/>
      <c r="BD392" s="123"/>
      <c r="BE392" s="123"/>
      <c r="BF392" s="123"/>
      <c r="BG392" s="123"/>
      <c r="BH392" s="123"/>
      <c r="BI392" s="123"/>
      <c r="BJ392" s="123"/>
      <c r="BK392" s="123"/>
      <c r="BL392" s="123"/>
      <c r="BM392" s="123"/>
      <c r="BN392" s="123"/>
      <c r="BO392" s="123"/>
      <c r="BP392" s="123"/>
      <c r="BQ392" s="123"/>
      <c r="BR392" s="123"/>
      <c r="BS392" s="123"/>
      <c r="BT392" s="123"/>
      <c r="BU392" s="123"/>
      <c r="BV392" s="123"/>
      <c r="BW392" s="123"/>
      <c r="BX392" s="123"/>
      <c r="BY392" s="123"/>
      <c r="BZ392" s="123"/>
      <c r="CA392" s="123"/>
      <c r="CB392" s="123"/>
      <c r="CC392" s="123"/>
      <c r="CD392" s="123"/>
      <c r="CE392" s="123"/>
      <c r="CF392" s="123"/>
      <c r="CG392" s="123"/>
      <c r="CH392" s="123"/>
      <c r="CI392" s="123"/>
      <c r="CJ392" s="123"/>
      <c r="CK392" s="123"/>
      <c r="CL392" s="123"/>
      <c r="CM392" s="123"/>
      <c r="CN392" s="123"/>
      <c r="CO392" s="123"/>
      <c r="CP392" s="123"/>
      <c r="CQ392" s="123"/>
      <c r="CR392" s="123"/>
      <c r="CS392" s="123"/>
      <c r="CT392" s="123"/>
      <c r="CU392" s="123"/>
      <c r="CV392" s="123"/>
      <c r="CW392" s="123"/>
      <c r="CX392" s="123"/>
    </row>
    <row r="393" spans="1:102" s="602" customFormat="1" ht="47.25" x14ac:dyDescent="0.25">
      <c r="A393" s="600"/>
      <c r="B393" s="688" t="s">
        <v>149</v>
      </c>
      <c r="C393" s="601" t="s">
        <v>39</v>
      </c>
      <c r="D393" s="498">
        <v>36</v>
      </c>
      <c r="E393" s="498">
        <v>41.4</v>
      </c>
      <c r="F393" s="33">
        <f>D393/E393*100</f>
        <v>86.956521739130437</v>
      </c>
      <c r="G393" s="600"/>
      <c r="H393" s="677" t="s">
        <v>1120</v>
      </c>
    </row>
    <row r="394" spans="1:102" s="34" customFormat="1" ht="32.25" customHeight="1" x14ac:dyDescent="0.25">
      <c r="A394" s="279">
        <v>19</v>
      </c>
      <c r="B394" s="799" t="str">
        <f>свод!B157</f>
        <v>Муниципальная программа «Охрана окружающей среды в Горном улусе  на 2017-2024 годы»</v>
      </c>
      <c r="C394" s="809"/>
      <c r="D394" s="809"/>
      <c r="E394" s="809"/>
      <c r="F394" s="809"/>
      <c r="G394" s="591">
        <f>AVERAGE(F396:F404)</f>
        <v>77.222222222222229</v>
      </c>
      <c r="H394" s="215"/>
    </row>
    <row r="395" spans="1:102" ht="21" customHeight="1" x14ac:dyDescent="0.25">
      <c r="A395" s="25"/>
      <c r="B395" s="810" t="s">
        <v>342</v>
      </c>
      <c r="C395" s="820"/>
      <c r="D395" s="820"/>
      <c r="E395" s="820"/>
      <c r="F395" s="820"/>
      <c r="G395" s="30"/>
    </row>
    <row r="396" spans="1:102" ht="31.5" x14ac:dyDescent="0.25">
      <c r="A396" s="25"/>
      <c r="B396" s="665" t="s">
        <v>47</v>
      </c>
      <c r="C396" s="192" t="s">
        <v>69</v>
      </c>
      <c r="D396" s="657">
        <v>9</v>
      </c>
      <c r="E396" s="658">
        <v>20</v>
      </c>
      <c r="F396" s="589">
        <v>100</v>
      </c>
      <c r="G396" s="25"/>
      <c r="K396" s="138"/>
    </row>
    <row r="397" spans="1:102" x14ac:dyDescent="0.25">
      <c r="A397" s="25"/>
      <c r="B397" s="691" t="s">
        <v>343</v>
      </c>
      <c r="C397" s="192" t="s">
        <v>69</v>
      </c>
      <c r="D397" s="657">
        <v>1</v>
      </c>
      <c r="E397" s="658">
        <v>0</v>
      </c>
      <c r="F397" s="589">
        <f t="shared" ref="F397:F404" si="4">E397/D397*100</f>
        <v>0</v>
      </c>
      <c r="G397" s="25"/>
      <c r="K397" s="23">
        <v>1</v>
      </c>
    </row>
    <row r="398" spans="1:102" x14ac:dyDescent="0.25">
      <c r="A398" s="25"/>
      <c r="B398" s="691" t="s">
        <v>344</v>
      </c>
      <c r="C398" s="192" t="s">
        <v>69</v>
      </c>
      <c r="D398" s="657">
        <v>510</v>
      </c>
      <c r="E398" s="658">
        <v>660</v>
      </c>
      <c r="F398" s="589">
        <v>100</v>
      </c>
      <c r="G398" s="25"/>
      <c r="K398" s="138"/>
    </row>
    <row r="399" spans="1:102" x14ac:dyDescent="0.25">
      <c r="A399" s="25"/>
      <c r="B399" s="691" t="s">
        <v>345</v>
      </c>
      <c r="C399" s="192" t="s">
        <v>69</v>
      </c>
      <c r="D399" s="657">
        <v>55</v>
      </c>
      <c r="E399" s="658">
        <v>60</v>
      </c>
      <c r="F399" s="589">
        <v>100</v>
      </c>
      <c r="G399" s="25"/>
      <c r="K399" s="138"/>
    </row>
    <row r="400" spans="1:102" x14ac:dyDescent="0.25">
      <c r="A400" s="25"/>
      <c r="B400" s="691" t="s">
        <v>48</v>
      </c>
      <c r="C400" s="192" t="s">
        <v>69</v>
      </c>
      <c r="D400" s="657">
        <v>5010</v>
      </c>
      <c r="E400" s="658">
        <v>30000</v>
      </c>
      <c r="F400" s="589">
        <v>100</v>
      </c>
      <c r="G400" s="25"/>
      <c r="K400" s="138"/>
    </row>
    <row r="401" spans="1:11" x14ac:dyDescent="0.25">
      <c r="A401" s="25"/>
      <c r="B401" s="691" t="s">
        <v>49</v>
      </c>
      <c r="C401" s="192" t="s">
        <v>69</v>
      </c>
      <c r="D401" s="657">
        <v>160</v>
      </c>
      <c r="E401" s="658">
        <v>0</v>
      </c>
      <c r="F401" s="589">
        <f t="shared" si="4"/>
        <v>0</v>
      </c>
      <c r="G401" s="25"/>
      <c r="K401" s="23">
        <v>1</v>
      </c>
    </row>
    <row r="402" spans="1:11" x14ac:dyDescent="0.25">
      <c r="A402" s="25"/>
      <c r="B402" s="684" t="s">
        <v>50</v>
      </c>
      <c r="C402" s="192" t="s">
        <v>69</v>
      </c>
      <c r="D402" s="657">
        <v>24</v>
      </c>
      <c r="E402" s="658">
        <v>24</v>
      </c>
      <c r="F402" s="589">
        <f t="shared" si="4"/>
        <v>100</v>
      </c>
      <c r="G402" s="25"/>
      <c r="K402" s="138"/>
    </row>
    <row r="403" spans="1:11" x14ac:dyDescent="0.25">
      <c r="A403" s="25"/>
      <c r="B403" s="684" t="s">
        <v>51</v>
      </c>
      <c r="C403" s="29" t="s">
        <v>52</v>
      </c>
      <c r="D403" s="657">
        <v>912</v>
      </c>
      <c r="E403" s="658">
        <v>2100</v>
      </c>
      <c r="F403" s="589">
        <v>100</v>
      </c>
      <c r="G403" s="25"/>
      <c r="K403" s="138"/>
    </row>
    <row r="404" spans="1:11" x14ac:dyDescent="0.25">
      <c r="A404" s="25"/>
      <c r="B404" s="684" t="s">
        <v>53</v>
      </c>
      <c r="C404" s="29" t="s">
        <v>52</v>
      </c>
      <c r="D404" s="657">
        <v>20</v>
      </c>
      <c r="E404" s="658">
        <v>19</v>
      </c>
      <c r="F404" s="589">
        <f t="shared" si="4"/>
        <v>95</v>
      </c>
      <c r="G404" s="25"/>
    </row>
    <row r="405" spans="1:11" x14ac:dyDescent="0.25">
      <c r="A405" s="25"/>
      <c r="B405" s="684" t="s">
        <v>346</v>
      </c>
      <c r="C405" s="29" t="s">
        <v>910</v>
      </c>
      <c r="D405" s="657">
        <v>0</v>
      </c>
      <c r="E405" s="659">
        <v>912022.9</v>
      </c>
      <c r="F405" s="589"/>
      <c r="G405" s="25"/>
    </row>
    <row r="406" spans="1:11" x14ac:dyDescent="0.25">
      <c r="A406" s="25"/>
      <c r="B406" s="684" t="s">
        <v>347</v>
      </c>
      <c r="C406" s="29" t="s">
        <v>911</v>
      </c>
      <c r="D406" s="657">
        <v>0</v>
      </c>
      <c r="E406" s="659">
        <v>160424.9</v>
      </c>
      <c r="F406" s="589"/>
      <c r="G406" s="25"/>
    </row>
    <row r="407" spans="1:11" s="110" customFormat="1" ht="32.25" customHeight="1" x14ac:dyDescent="0.25">
      <c r="A407" s="279">
        <v>20</v>
      </c>
      <c r="B407" s="799" t="str">
        <f>свод!B175</f>
        <v>Ведомственная целевая программа «Повышение эффективности управления муниципальными финансами муниципального района «Горный улус» на 2020-2024 годы»</v>
      </c>
      <c r="C407" s="821"/>
      <c r="D407" s="821"/>
      <c r="E407" s="821"/>
      <c r="F407" s="821"/>
      <c r="G407" s="591">
        <f>AVERAGE(F410,F412,F413,F414,F419,F422,F426,F428,F429,F431,F432,F416:F417,F420)</f>
        <v>78.853361344537817</v>
      </c>
      <c r="H407" s="223"/>
    </row>
    <row r="408" spans="1:11" s="111" customFormat="1" ht="55.5" customHeight="1" x14ac:dyDescent="0.25">
      <c r="A408" s="25"/>
      <c r="B408" s="810" t="s">
        <v>932</v>
      </c>
      <c r="C408" s="811"/>
      <c r="D408" s="811"/>
      <c r="E408" s="811"/>
      <c r="F408" s="811"/>
      <c r="G408" s="41"/>
      <c r="H408" s="221"/>
    </row>
    <row r="409" spans="1:11" s="111" customFormat="1" ht="24" customHeight="1" x14ac:dyDescent="0.25">
      <c r="A409" s="25"/>
      <c r="B409" s="795" t="s">
        <v>348</v>
      </c>
      <c r="C409" s="795"/>
      <c r="D409" s="795"/>
      <c r="E409" s="795"/>
      <c r="F409" s="795"/>
      <c r="G409" s="41"/>
      <c r="H409" s="221"/>
    </row>
    <row r="410" spans="1:11" s="111" customFormat="1" ht="22.5" customHeight="1" x14ac:dyDescent="0.25">
      <c r="A410" s="25"/>
      <c r="B410" s="722" t="s">
        <v>349</v>
      </c>
      <c r="C410" s="29" t="s">
        <v>39</v>
      </c>
      <c r="D410" s="550">
        <v>85</v>
      </c>
      <c r="E410" s="550">
        <v>85</v>
      </c>
      <c r="F410" s="24">
        <v>100</v>
      </c>
      <c r="G410" s="25"/>
      <c r="H410" s="221"/>
      <c r="K410" s="138"/>
    </row>
    <row r="411" spans="1:11" s="111" customFormat="1" ht="36" customHeight="1" x14ac:dyDescent="0.25">
      <c r="A411" s="25"/>
      <c r="B411" s="795" t="s">
        <v>350</v>
      </c>
      <c r="C411" s="795"/>
      <c r="D411" s="795"/>
      <c r="E411" s="795"/>
      <c r="F411" s="795"/>
      <c r="G411" s="41"/>
      <c r="H411" s="221"/>
    </row>
    <row r="412" spans="1:11" s="111" customFormat="1" ht="36" customHeight="1" x14ac:dyDescent="0.25">
      <c r="A412" s="25"/>
      <c r="B412" s="722" t="s">
        <v>351</v>
      </c>
      <c r="C412" s="29" t="s">
        <v>352</v>
      </c>
      <c r="D412" s="29" t="s">
        <v>353</v>
      </c>
      <c r="E412" s="29" t="s">
        <v>354</v>
      </c>
      <c r="F412" s="24">
        <v>100</v>
      </c>
      <c r="G412" s="41"/>
      <c r="H412" s="221"/>
      <c r="K412" s="138"/>
    </row>
    <row r="413" spans="1:11" s="111" customFormat="1" ht="36" customHeight="1" x14ac:dyDescent="0.25">
      <c r="A413" s="25"/>
      <c r="B413" s="722" t="s">
        <v>355</v>
      </c>
      <c r="C413" s="29" t="s">
        <v>356</v>
      </c>
      <c r="D413" s="29" t="s">
        <v>357</v>
      </c>
      <c r="E413" s="29" t="s">
        <v>357</v>
      </c>
      <c r="F413" s="24">
        <v>100</v>
      </c>
      <c r="G413" s="41"/>
      <c r="H413" s="221"/>
      <c r="K413" s="138"/>
    </row>
    <row r="414" spans="1:11" s="111" customFormat="1" ht="55.5" customHeight="1" x14ac:dyDescent="0.25">
      <c r="A414" s="25"/>
      <c r="B414" s="722" t="s">
        <v>358</v>
      </c>
      <c r="C414" s="29" t="s">
        <v>356</v>
      </c>
      <c r="D414" s="29" t="s">
        <v>357</v>
      </c>
      <c r="E414" s="29" t="s">
        <v>357</v>
      </c>
      <c r="F414" s="24">
        <v>100</v>
      </c>
      <c r="G414" s="41"/>
      <c r="H414" s="221"/>
      <c r="K414" s="138"/>
    </row>
    <row r="415" spans="1:11" s="111" customFormat="1" ht="36" customHeight="1" x14ac:dyDescent="0.25">
      <c r="A415" s="25"/>
      <c r="B415" s="795" t="s">
        <v>359</v>
      </c>
      <c r="C415" s="795"/>
      <c r="D415" s="795"/>
      <c r="E415" s="795"/>
      <c r="F415" s="795"/>
      <c r="G415" s="41"/>
      <c r="H415" s="221"/>
    </row>
    <row r="416" spans="1:11" s="111" customFormat="1" ht="47.25" x14ac:dyDescent="0.25">
      <c r="A416" s="25"/>
      <c r="B416" s="722" t="s">
        <v>360</v>
      </c>
      <c r="C416" s="29" t="s">
        <v>361</v>
      </c>
      <c r="D416" s="29" t="s">
        <v>357</v>
      </c>
      <c r="E416" s="550" t="s">
        <v>357</v>
      </c>
      <c r="F416" s="24">
        <v>100</v>
      </c>
      <c r="G416" s="41"/>
      <c r="H416" s="221"/>
    </row>
    <row r="417" spans="1:11" s="111" customFormat="1" ht="47.25" x14ac:dyDescent="0.25">
      <c r="A417" s="25"/>
      <c r="B417" s="722" t="s">
        <v>362</v>
      </c>
      <c r="C417" s="29" t="s">
        <v>361</v>
      </c>
      <c r="D417" s="29" t="s">
        <v>357</v>
      </c>
      <c r="E417" s="550" t="s">
        <v>357</v>
      </c>
      <c r="F417" s="24">
        <v>100</v>
      </c>
      <c r="G417" s="41"/>
      <c r="H417" s="221"/>
    </row>
    <row r="418" spans="1:11" s="111" customFormat="1" ht="36" customHeight="1" x14ac:dyDescent="0.25">
      <c r="A418" s="25"/>
      <c r="B418" s="795" t="s">
        <v>363</v>
      </c>
      <c r="C418" s="795"/>
      <c r="D418" s="795"/>
      <c r="E418" s="795"/>
      <c r="F418" s="795"/>
      <c r="G418" s="41"/>
      <c r="H418" s="221"/>
    </row>
    <row r="419" spans="1:11" s="111" customFormat="1" ht="62.25" customHeight="1" x14ac:dyDescent="0.25">
      <c r="A419" s="25"/>
      <c r="B419" s="722" t="s">
        <v>364</v>
      </c>
      <c r="C419" s="29" t="s">
        <v>361</v>
      </c>
      <c r="D419" s="29" t="s">
        <v>357</v>
      </c>
      <c r="E419" s="550" t="s">
        <v>365</v>
      </c>
      <c r="F419" s="24">
        <v>0</v>
      </c>
      <c r="G419" s="41"/>
      <c r="H419" s="221"/>
      <c r="K419" s="23">
        <v>1</v>
      </c>
    </row>
    <row r="420" spans="1:11" s="111" customFormat="1" ht="94.5" customHeight="1" x14ac:dyDescent="0.25">
      <c r="A420" s="25"/>
      <c r="B420" s="722" t="s">
        <v>1050</v>
      </c>
      <c r="C420" s="29" t="s">
        <v>361</v>
      </c>
      <c r="D420" s="29" t="s">
        <v>357</v>
      </c>
      <c r="E420" s="550" t="s">
        <v>357</v>
      </c>
      <c r="F420" s="24">
        <v>100</v>
      </c>
      <c r="G420" s="41"/>
      <c r="H420" s="221"/>
    </row>
    <row r="421" spans="1:11" s="111" customFormat="1" ht="36" customHeight="1" x14ac:dyDescent="0.25">
      <c r="A421" s="25"/>
      <c r="B421" s="795" t="s">
        <v>366</v>
      </c>
      <c r="C421" s="795"/>
      <c r="D421" s="795"/>
      <c r="E421" s="795"/>
      <c r="F421" s="795"/>
      <c r="G421" s="41"/>
      <c r="H421" s="221"/>
    </row>
    <row r="422" spans="1:11" s="111" customFormat="1" ht="58.5" customHeight="1" x14ac:dyDescent="0.25">
      <c r="A422" s="25"/>
      <c r="B422" s="722" t="s">
        <v>367</v>
      </c>
      <c r="C422" s="29" t="s">
        <v>39</v>
      </c>
      <c r="D422" s="29" t="s">
        <v>368</v>
      </c>
      <c r="E422" s="29">
        <v>6.5</v>
      </c>
      <c r="F422" s="24">
        <f>E422/20*100</f>
        <v>32.5</v>
      </c>
      <c r="G422" s="41"/>
      <c r="H422" s="221"/>
    </row>
    <row r="423" spans="1:11" s="111" customFormat="1" ht="78.75" x14ac:dyDescent="0.25">
      <c r="A423" s="25"/>
      <c r="B423" s="722" t="s">
        <v>369</v>
      </c>
      <c r="C423" s="29" t="s">
        <v>39</v>
      </c>
      <c r="D423" s="29" t="s">
        <v>370</v>
      </c>
      <c r="E423" s="29" t="s">
        <v>371</v>
      </c>
      <c r="F423" s="24"/>
      <c r="G423" s="41"/>
      <c r="H423" s="221"/>
    </row>
    <row r="424" spans="1:11" s="111" customFormat="1" ht="87.75" customHeight="1" x14ac:dyDescent="0.25">
      <c r="A424" s="25"/>
      <c r="B424" s="722" t="s">
        <v>372</v>
      </c>
      <c r="C424" s="29" t="s">
        <v>39</v>
      </c>
      <c r="D424" s="29" t="s">
        <v>373</v>
      </c>
      <c r="E424" s="29" t="s">
        <v>371</v>
      </c>
      <c r="F424" s="24"/>
      <c r="G424" s="41"/>
      <c r="H424" s="221"/>
    </row>
    <row r="425" spans="1:11" s="111" customFormat="1" ht="36" customHeight="1" x14ac:dyDescent="0.25">
      <c r="A425" s="25"/>
      <c r="B425" s="795" t="s">
        <v>374</v>
      </c>
      <c r="C425" s="795"/>
      <c r="D425" s="795"/>
      <c r="E425" s="795"/>
      <c r="F425" s="795"/>
      <c r="G425" s="41"/>
      <c r="H425" s="221"/>
    </row>
    <row r="426" spans="1:11" s="111" customFormat="1" ht="85.5" customHeight="1" x14ac:dyDescent="0.25">
      <c r="A426" s="25"/>
      <c r="B426" s="722" t="s">
        <v>375</v>
      </c>
      <c r="C426" s="29" t="s">
        <v>356</v>
      </c>
      <c r="D426" s="29" t="s">
        <v>357</v>
      </c>
      <c r="E426" s="29" t="s">
        <v>365</v>
      </c>
      <c r="F426" s="24">
        <v>0</v>
      </c>
      <c r="G426" s="41"/>
      <c r="H426" s="650" t="s">
        <v>1051</v>
      </c>
      <c r="K426" s="23">
        <v>1</v>
      </c>
    </row>
    <row r="427" spans="1:11" s="111" customFormat="1" ht="36" customHeight="1" x14ac:dyDescent="0.25">
      <c r="A427" s="25"/>
      <c r="B427" s="795" t="s">
        <v>376</v>
      </c>
      <c r="C427" s="795"/>
      <c r="D427" s="795"/>
      <c r="E427" s="795"/>
      <c r="F427" s="795"/>
      <c r="G427" s="41"/>
      <c r="H427" s="651"/>
    </row>
    <row r="428" spans="1:11" s="111" customFormat="1" ht="50.25" customHeight="1" x14ac:dyDescent="0.25">
      <c r="A428" s="25"/>
      <c r="B428" s="722" t="s">
        <v>377</v>
      </c>
      <c r="C428" s="29" t="s">
        <v>40</v>
      </c>
      <c r="D428" s="29">
        <v>10</v>
      </c>
      <c r="E428" s="550">
        <v>9</v>
      </c>
      <c r="F428" s="251">
        <f>E428/D428*100</f>
        <v>90</v>
      </c>
      <c r="G428" s="41"/>
      <c r="H428" s="650" t="s">
        <v>1153</v>
      </c>
    </row>
    <row r="429" spans="1:11" s="111" customFormat="1" ht="45.75" customHeight="1" x14ac:dyDescent="0.25">
      <c r="A429" s="25"/>
      <c r="B429" s="722" t="s">
        <v>378</v>
      </c>
      <c r="C429" s="29" t="s">
        <v>39</v>
      </c>
      <c r="D429" s="29">
        <v>85</v>
      </c>
      <c r="E429" s="550">
        <v>69.23</v>
      </c>
      <c r="F429" s="251">
        <f>E429/D429*100</f>
        <v>81.447058823529417</v>
      </c>
      <c r="G429" s="41"/>
      <c r="H429" s="650" t="s">
        <v>1154</v>
      </c>
    </row>
    <row r="430" spans="1:11" s="111" customFormat="1" ht="36" customHeight="1" x14ac:dyDescent="0.25">
      <c r="A430" s="25"/>
      <c r="B430" s="795" t="s">
        <v>379</v>
      </c>
      <c r="C430" s="795"/>
      <c r="D430" s="795"/>
      <c r="E430" s="795"/>
      <c r="F430" s="795"/>
      <c r="G430" s="41"/>
      <c r="H430" s="221"/>
    </row>
    <row r="431" spans="1:11" s="111" customFormat="1" ht="48.75" customHeight="1" x14ac:dyDescent="0.25">
      <c r="A431" s="25"/>
      <c r="B431" s="722" t="s">
        <v>380</v>
      </c>
      <c r="C431" s="29" t="s">
        <v>39</v>
      </c>
      <c r="D431" s="29">
        <v>100</v>
      </c>
      <c r="E431" s="29">
        <v>100</v>
      </c>
      <c r="F431" s="24">
        <v>100</v>
      </c>
      <c r="G431" s="41"/>
      <c r="H431" s="221"/>
      <c r="K431" s="138"/>
    </row>
    <row r="432" spans="1:11" s="111" customFormat="1" ht="57.75" customHeight="1" x14ac:dyDescent="0.25">
      <c r="A432" s="25"/>
      <c r="B432" s="722" t="s">
        <v>381</v>
      </c>
      <c r="C432" s="29" t="s">
        <v>39</v>
      </c>
      <c r="D432" s="29">
        <v>50</v>
      </c>
      <c r="E432" s="29">
        <v>59.3</v>
      </c>
      <c r="F432" s="251">
        <v>100</v>
      </c>
      <c r="G432" s="41"/>
      <c r="H432" s="221"/>
      <c r="K432" s="138"/>
    </row>
    <row r="433" spans="1:102" s="602" customFormat="1" ht="33.75" customHeight="1" x14ac:dyDescent="0.25">
      <c r="A433" s="279">
        <v>21</v>
      </c>
      <c r="B433" s="808" t="str">
        <f>свод!B180</f>
        <v>Муниципальная программа «Газификация населенных пунктов муниципального района «Горный улус» на 2019-2023 годы»</v>
      </c>
      <c r="C433" s="809"/>
      <c r="D433" s="809"/>
      <c r="E433" s="809"/>
      <c r="F433" s="809"/>
      <c r="G433" s="591">
        <f>SUM(F435+F436+F437+F439)/4</f>
        <v>82.692307692307693</v>
      </c>
      <c r="H433" s="645"/>
    </row>
    <row r="434" spans="1:102" ht="37.5" customHeight="1" x14ac:dyDescent="0.25">
      <c r="A434" s="25"/>
      <c r="B434" s="810" t="s">
        <v>382</v>
      </c>
      <c r="C434" s="811"/>
      <c r="D434" s="811"/>
      <c r="E434" s="811"/>
      <c r="F434" s="811"/>
      <c r="G434" s="41"/>
    </row>
    <row r="435" spans="1:102" ht="27" customHeight="1" x14ac:dyDescent="0.25">
      <c r="A435" s="25"/>
      <c r="B435" s="705" t="s">
        <v>383</v>
      </c>
      <c r="C435" s="29" t="s">
        <v>69</v>
      </c>
      <c r="D435" s="29">
        <v>4</v>
      </c>
      <c r="E435" s="24">
        <v>4</v>
      </c>
      <c r="F435" s="26">
        <f>SUM(E435/D435*100)</f>
        <v>100</v>
      </c>
      <c r="G435" s="25"/>
      <c r="K435" s="138"/>
    </row>
    <row r="436" spans="1:102" ht="63" x14ac:dyDescent="0.25">
      <c r="A436" s="25"/>
      <c r="B436" s="705" t="s">
        <v>384</v>
      </c>
      <c r="C436" s="29" t="s">
        <v>69</v>
      </c>
      <c r="D436" s="29">
        <v>13</v>
      </c>
      <c r="E436" s="24">
        <v>4</v>
      </c>
      <c r="F436" s="26">
        <f>SUM(E436/D436*100)</f>
        <v>30.76923076923077</v>
      </c>
      <c r="G436" s="25"/>
      <c r="H436" s="729" t="s">
        <v>1174</v>
      </c>
    </row>
    <row r="437" spans="1:102" ht="30.75" customHeight="1" x14ac:dyDescent="0.25">
      <c r="A437" s="25"/>
      <c r="B437" s="705" t="s">
        <v>385</v>
      </c>
      <c r="C437" s="29" t="s">
        <v>198</v>
      </c>
      <c r="D437" s="29">
        <v>67.3</v>
      </c>
      <c r="E437" s="24">
        <v>67.3</v>
      </c>
      <c r="F437" s="26">
        <f>SUM(E437/D437*100)</f>
        <v>100</v>
      </c>
      <c r="G437" s="25"/>
      <c r="H437" s="233"/>
      <c r="K437" s="138"/>
    </row>
    <row r="438" spans="1:102" ht="31.5" x14ac:dyDescent="0.25">
      <c r="A438" s="25"/>
      <c r="B438" s="705" t="s">
        <v>386</v>
      </c>
      <c r="C438" s="29" t="s">
        <v>69</v>
      </c>
      <c r="D438" s="29">
        <v>1476</v>
      </c>
      <c r="E438" s="24">
        <v>1226</v>
      </c>
      <c r="F438" s="26">
        <f>E438/D438*100</f>
        <v>83.062330623306238</v>
      </c>
      <c r="G438" s="25"/>
    </row>
    <row r="439" spans="1:102" ht="31.5" x14ac:dyDescent="0.25">
      <c r="A439" s="25"/>
      <c r="B439" s="705" t="s">
        <v>387</v>
      </c>
      <c r="C439" s="29" t="s">
        <v>69</v>
      </c>
      <c r="D439" s="29">
        <v>3</v>
      </c>
      <c r="E439" s="24">
        <v>4</v>
      </c>
      <c r="F439" s="26">
        <v>100</v>
      </c>
      <c r="G439" s="25"/>
      <c r="K439" s="138"/>
    </row>
    <row r="440" spans="1:102" s="108" customFormat="1" ht="18.75" customHeight="1" x14ac:dyDescent="0.25">
      <c r="A440" s="279">
        <v>22</v>
      </c>
      <c r="B440" s="816" t="str">
        <f>свод!B366</f>
        <v>Муниципальная программа «Комплексное развитие сельских территорий в Горном улусе на 2020-2025 годы»</v>
      </c>
      <c r="C440" s="817"/>
      <c r="D440" s="817"/>
      <c r="E440" s="817"/>
      <c r="F440" s="817"/>
      <c r="G440" s="591">
        <f>AVERAGE(F442,F443,F444,F447,F448,F451,F452)</f>
        <v>84.026462418004186</v>
      </c>
      <c r="H440" s="217"/>
    </row>
    <row r="441" spans="1:102" ht="67.5" customHeight="1" x14ac:dyDescent="0.25">
      <c r="A441" s="25"/>
      <c r="B441" s="818" t="s">
        <v>388</v>
      </c>
      <c r="C441" s="819"/>
      <c r="D441" s="819"/>
      <c r="E441" s="819"/>
      <c r="F441" s="819"/>
      <c r="G441" s="41"/>
    </row>
    <row r="442" spans="1:102" ht="36.75" customHeight="1" x14ac:dyDescent="0.25">
      <c r="A442" s="25"/>
      <c r="B442" s="705" t="s">
        <v>389</v>
      </c>
      <c r="C442" s="29" t="s">
        <v>52</v>
      </c>
      <c r="D442" s="29">
        <v>1.24</v>
      </c>
      <c r="E442" s="42">
        <v>1.23</v>
      </c>
      <c r="F442" s="26">
        <f>SUM(E442/D442*100)</f>
        <v>99.193548387096769</v>
      </c>
      <c r="G442" s="25"/>
      <c r="H442" s="212" t="s">
        <v>1152</v>
      </c>
    </row>
    <row r="443" spans="1:102" ht="46.5" customHeight="1" x14ac:dyDescent="0.25">
      <c r="A443" s="25"/>
      <c r="B443" s="705" t="s">
        <v>390</v>
      </c>
      <c r="C443" s="29" t="s">
        <v>39</v>
      </c>
      <c r="D443" s="29">
        <v>76.2</v>
      </c>
      <c r="E443" s="43">
        <v>62.52</v>
      </c>
      <c r="F443" s="26">
        <f>E443/D443*100</f>
        <v>82.047244094488192</v>
      </c>
      <c r="G443" s="25"/>
      <c r="H443" s="212" t="s">
        <v>1151</v>
      </c>
      <c r="K443" s="138"/>
    </row>
    <row r="444" spans="1:102" ht="79.5" customHeight="1" x14ac:dyDescent="0.25">
      <c r="A444" s="25"/>
      <c r="B444" s="705" t="s">
        <v>1121</v>
      </c>
      <c r="C444" s="29" t="s">
        <v>39</v>
      </c>
      <c r="D444" s="29">
        <v>2</v>
      </c>
      <c r="E444" s="24">
        <v>2.1</v>
      </c>
      <c r="F444" s="26">
        <v>100</v>
      </c>
      <c r="G444" s="25"/>
      <c r="H444" s="212" t="s">
        <v>1152</v>
      </c>
      <c r="K444" s="23">
        <v>1</v>
      </c>
    </row>
    <row r="445" spans="1:102" s="22" customFormat="1" x14ac:dyDescent="0.25">
      <c r="A445" s="24" t="s">
        <v>36</v>
      </c>
      <c r="B445" s="815" t="s">
        <v>391</v>
      </c>
      <c r="C445" s="815"/>
      <c r="D445" s="815"/>
      <c r="E445" s="815"/>
      <c r="F445" s="815"/>
      <c r="G445" s="664"/>
      <c r="H445" s="234"/>
      <c r="I445" s="40"/>
      <c r="J445" s="40"/>
      <c r="K445" s="40"/>
      <c r="L445" s="40"/>
      <c r="M445" s="40"/>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row>
    <row r="446" spans="1:102" x14ac:dyDescent="0.25">
      <c r="A446" s="25"/>
      <c r="B446" s="794" t="s">
        <v>1201</v>
      </c>
      <c r="C446" s="794"/>
      <c r="D446" s="794"/>
      <c r="E446" s="794"/>
      <c r="F446" s="794"/>
      <c r="G446" s="32"/>
      <c r="H446" s="227"/>
      <c r="I446" s="39"/>
      <c r="J446" s="39"/>
      <c r="K446" s="39"/>
      <c r="L446" s="39"/>
      <c r="M446" s="39"/>
      <c r="N446" s="39"/>
      <c r="O446" s="39"/>
      <c r="P446" s="39"/>
      <c r="Q446" s="39"/>
      <c r="R446" s="39"/>
      <c r="S446" s="39"/>
      <c r="T446" s="39"/>
      <c r="U446" s="39"/>
      <c r="V446" s="39"/>
      <c r="W446" s="39"/>
      <c r="X446" s="39"/>
      <c r="Y446" s="39"/>
      <c r="Z446" s="39"/>
      <c r="AA446" s="39"/>
      <c r="AB446" s="39"/>
      <c r="AC446" s="39"/>
      <c r="AD446" s="39"/>
      <c r="AE446" s="39"/>
      <c r="AF446" s="39"/>
      <c r="AG446" s="39"/>
      <c r="AH446" s="39"/>
      <c r="AI446" s="39"/>
      <c r="AJ446" s="39"/>
      <c r="AK446" s="39"/>
      <c r="AL446" s="39"/>
      <c r="AM446" s="39"/>
      <c r="AN446" s="39"/>
      <c r="AO446" s="39"/>
      <c r="AP446" s="39"/>
      <c r="AQ446" s="39"/>
      <c r="AR446" s="39"/>
      <c r="AS446" s="39"/>
      <c r="AT446" s="39"/>
      <c r="AU446" s="39"/>
      <c r="AV446" s="39"/>
      <c r="AW446" s="39"/>
      <c r="AX446" s="39"/>
      <c r="AY446" s="39"/>
      <c r="AZ446" s="39"/>
      <c r="BA446" s="39"/>
      <c r="BB446" s="39"/>
      <c r="BC446" s="39"/>
      <c r="BD446" s="39"/>
      <c r="BE446" s="39"/>
      <c r="BF446" s="39"/>
      <c r="BG446" s="39"/>
      <c r="BH446" s="39"/>
      <c r="BI446" s="39"/>
      <c r="BJ446" s="39"/>
      <c r="BK446" s="39"/>
      <c r="BL446" s="39"/>
      <c r="BM446" s="39"/>
      <c r="BN446" s="39"/>
      <c r="BO446" s="39"/>
      <c r="BP446" s="39"/>
      <c r="BQ446" s="39"/>
      <c r="BR446" s="39"/>
      <c r="BS446" s="39"/>
      <c r="BT446" s="39"/>
      <c r="BU446" s="39"/>
      <c r="BV446" s="39"/>
      <c r="BW446" s="39"/>
      <c r="BX446" s="39"/>
      <c r="BY446" s="39"/>
      <c r="BZ446" s="39"/>
      <c r="CA446" s="39"/>
      <c r="CB446" s="39"/>
      <c r="CC446" s="39"/>
      <c r="CD446" s="39"/>
      <c r="CE446" s="39"/>
      <c r="CF446" s="39"/>
      <c r="CG446" s="39"/>
      <c r="CH446" s="39"/>
      <c r="CI446" s="39"/>
      <c r="CJ446" s="39"/>
      <c r="CK446" s="39"/>
      <c r="CL446" s="39"/>
      <c r="CM446" s="39"/>
      <c r="CN446" s="39"/>
      <c r="CO446" s="39"/>
      <c r="CP446" s="39"/>
      <c r="CQ446" s="39"/>
      <c r="CR446" s="39"/>
      <c r="CS446" s="39"/>
      <c r="CT446" s="39"/>
      <c r="CU446" s="39"/>
      <c r="CV446" s="39"/>
      <c r="CW446" s="39"/>
      <c r="CX446" s="39"/>
    </row>
    <row r="447" spans="1:102" ht="31.5" x14ac:dyDescent="0.25">
      <c r="A447" s="25"/>
      <c r="B447" s="705" t="s">
        <v>392</v>
      </c>
      <c r="C447" s="29" t="s">
        <v>393</v>
      </c>
      <c r="D447" s="29">
        <v>1.6559999999999999</v>
      </c>
      <c r="E447" s="44">
        <v>0.115</v>
      </c>
      <c r="F447" s="26">
        <f>E447/D447*100</f>
        <v>6.9444444444444446</v>
      </c>
      <c r="G447" s="25"/>
    </row>
    <row r="448" spans="1:102" ht="47.25" x14ac:dyDescent="0.25">
      <c r="A448" s="25"/>
      <c r="B448" s="705" t="s">
        <v>394</v>
      </c>
      <c r="C448" s="29" t="s">
        <v>393</v>
      </c>
      <c r="D448" s="29">
        <v>0.183</v>
      </c>
      <c r="E448" s="740">
        <v>1.57653</v>
      </c>
      <c r="F448" s="26">
        <v>100</v>
      </c>
      <c r="G448" s="25"/>
      <c r="H448" s="212" t="s">
        <v>1195</v>
      </c>
      <c r="K448" s="23">
        <v>1</v>
      </c>
    </row>
    <row r="449" spans="1:102" s="22" customFormat="1" x14ac:dyDescent="0.25">
      <c r="A449" s="24" t="s">
        <v>36</v>
      </c>
      <c r="B449" s="815" t="s">
        <v>395</v>
      </c>
      <c r="C449" s="815"/>
      <c r="D449" s="815"/>
      <c r="E449" s="815"/>
      <c r="F449" s="815"/>
      <c r="G449" s="664"/>
      <c r="H449" s="234"/>
      <c r="I449" s="40"/>
      <c r="J449" s="40"/>
      <c r="K449" s="40"/>
      <c r="L449" s="40"/>
      <c r="M449" s="40"/>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row>
    <row r="450" spans="1:102" x14ac:dyDescent="0.25">
      <c r="A450" s="25"/>
      <c r="B450" s="794" t="s">
        <v>396</v>
      </c>
      <c r="C450" s="794"/>
      <c r="D450" s="794"/>
      <c r="E450" s="794"/>
      <c r="F450" s="794"/>
      <c r="G450" s="32"/>
      <c r="H450" s="227"/>
      <c r="I450" s="39"/>
      <c r="J450" s="39"/>
      <c r="K450" s="39"/>
      <c r="L450" s="39"/>
      <c r="M450" s="39"/>
      <c r="N450" s="39"/>
      <c r="O450" s="39"/>
      <c r="P450" s="39"/>
      <c r="Q450" s="39"/>
      <c r="R450" s="39"/>
      <c r="S450" s="39"/>
      <c r="T450" s="39"/>
      <c r="U450" s="39"/>
      <c r="V450" s="39"/>
      <c r="W450" s="39"/>
      <c r="X450" s="39"/>
      <c r="Y450" s="39"/>
      <c r="Z450" s="39"/>
      <c r="AA450" s="39"/>
      <c r="AB450" s="39"/>
      <c r="AC450" s="39"/>
      <c r="AD450" s="39"/>
      <c r="AE450" s="39"/>
      <c r="AF450" s="39"/>
      <c r="AG450" s="39"/>
      <c r="AH450" s="39"/>
      <c r="AI450" s="39"/>
      <c r="AJ450" s="39"/>
      <c r="AK450" s="39"/>
      <c r="AL450" s="39"/>
      <c r="AM450" s="39"/>
      <c r="AN450" s="39"/>
      <c r="AO450" s="39"/>
      <c r="AP450" s="39"/>
      <c r="AQ450" s="39"/>
      <c r="AR450" s="39"/>
      <c r="AS450" s="39"/>
      <c r="AT450" s="39"/>
      <c r="AU450" s="39"/>
      <c r="AV450" s="39"/>
      <c r="AW450" s="39"/>
      <c r="AX450" s="39"/>
      <c r="AY450" s="39"/>
      <c r="AZ450" s="39"/>
      <c r="BA450" s="39"/>
      <c r="BB450" s="39"/>
      <c r="BC450" s="39"/>
      <c r="BD450" s="39"/>
      <c r="BE450" s="39"/>
      <c r="BF450" s="39"/>
      <c r="BG450" s="39"/>
      <c r="BH450" s="39"/>
      <c r="BI450" s="39"/>
      <c r="BJ450" s="39"/>
      <c r="BK450" s="39"/>
      <c r="BL450" s="39"/>
      <c r="BM450" s="39"/>
      <c r="BN450" s="39"/>
      <c r="BO450" s="39"/>
      <c r="BP450" s="39"/>
      <c r="BQ450" s="39"/>
      <c r="BR450" s="39"/>
      <c r="BS450" s="39"/>
      <c r="BT450" s="39"/>
      <c r="BU450" s="39"/>
      <c r="BV450" s="39"/>
      <c r="BW450" s="39"/>
      <c r="BX450" s="39"/>
      <c r="BY450" s="39"/>
      <c r="BZ450" s="39"/>
      <c r="CA450" s="39"/>
      <c r="CB450" s="39"/>
      <c r="CC450" s="39"/>
      <c r="CD450" s="39"/>
      <c r="CE450" s="39"/>
      <c r="CF450" s="39"/>
      <c r="CG450" s="39"/>
      <c r="CH450" s="39"/>
      <c r="CI450" s="39"/>
      <c r="CJ450" s="39"/>
      <c r="CK450" s="39"/>
      <c r="CL450" s="39"/>
      <c r="CM450" s="39"/>
      <c r="CN450" s="39"/>
      <c r="CO450" s="39"/>
      <c r="CP450" s="39"/>
      <c r="CQ450" s="39"/>
      <c r="CR450" s="39"/>
      <c r="CS450" s="39"/>
      <c r="CT450" s="39"/>
      <c r="CU450" s="39"/>
      <c r="CV450" s="39"/>
      <c r="CW450" s="39"/>
      <c r="CX450" s="39"/>
    </row>
    <row r="451" spans="1:102" ht="47.25" x14ac:dyDescent="0.25">
      <c r="A451" s="25"/>
      <c r="B451" s="705" t="s">
        <v>397</v>
      </c>
      <c r="C451" s="29" t="s">
        <v>69</v>
      </c>
      <c r="D451" s="29">
        <v>1</v>
      </c>
      <c r="E451" s="24">
        <v>1</v>
      </c>
      <c r="F451" s="26">
        <v>100</v>
      </c>
      <c r="G451" s="25"/>
      <c r="K451" s="23">
        <v>1</v>
      </c>
    </row>
    <row r="452" spans="1:102" ht="49.5" customHeight="1" x14ac:dyDescent="0.25">
      <c r="A452" s="25"/>
      <c r="B452" s="705" t="s">
        <v>398</v>
      </c>
      <c r="C452" s="29" t="s">
        <v>69</v>
      </c>
      <c r="D452" s="29">
        <v>3</v>
      </c>
      <c r="E452" s="24">
        <v>3</v>
      </c>
      <c r="F452" s="26">
        <f>E452/D452*100</f>
        <v>100</v>
      </c>
      <c r="G452" s="25"/>
      <c r="H452" s="650" t="s">
        <v>1196</v>
      </c>
    </row>
    <row r="453" spans="1:102" ht="47.25" x14ac:dyDescent="0.25">
      <c r="A453" s="25"/>
      <c r="B453" s="705" t="s">
        <v>399</v>
      </c>
      <c r="C453" s="29" t="s">
        <v>69</v>
      </c>
      <c r="D453" s="29"/>
      <c r="E453" s="24"/>
      <c r="F453" s="26"/>
      <c r="G453" s="25"/>
    </row>
    <row r="454" spans="1:102" x14ac:dyDescent="0.25">
      <c r="G454" s="504">
        <f>AVERAGE(G440,G433,G407,G394,G310,G273,G266,G255,G244,G230,G226,G216,G212,G199,G190,G180,G168,G146,G88,G50,G43,G7)</f>
        <v>88.033279233946672</v>
      </c>
    </row>
    <row r="455" spans="1:102" x14ac:dyDescent="0.25">
      <c r="B455" s="168" t="s">
        <v>926</v>
      </c>
    </row>
    <row r="456" spans="1:102" x14ac:dyDescent="0.25">
      <c r="B456" s="168" t="s">
        <v>927</v>
      </c>
    </row>
  </sheetData>
  <autoFilter ref="A3:H456"/>
  <mergeCells count="164">
    <mergeCell ref="H316:H317"/>
    <mergeCell ref="H154:H155"/>
    <mergeCell ref="H163:H164"/>
    <mergeCell ref="B27:F27"/>
    <mergeCell ref="B30:F30"/>
    <mergeCell ref="B32:F32"/>
    <mergeCell ref="B22:F22"/>
    <mergeCell ref="B7:F7"/>
    <mergeCell ref="B8:F8"/>
    <mergeCell ref="B12:F12"/>
    <mergeCell ref="B13:F13"/>
    <mergeCell ref="B19:F19"/>
    <mergeCell ref="B21:F21"/>
    <mergeCell ref="B100:F100"/>
    <mergeCell ref="B107:F107"/>
    <mergeCell ref="B37:F37"/>
    <mergeCell ref="B38:F38"/>
    <mergeCell ref="B43:F43"/>
    <mergeCell ref="B44:F44"/>
    <mergeCell ref="B50:F50"/>
    <mergeCell ref="B51:F51"/>
    <mergeCell ref="B82:F82"/>
    <mergeCell ref="B84:F84"/>
    <mergeCell ref="B52:F52"/>
    <mergeCell ref="B59:F59"/>
    <mergeCell ref="B3:B5"/>
    <mergeCell ref="C3:C5"/>
    <mergeCell ref="D3:D4"/>
    <mergeCell ref="E3:E4"/>
    <mergeCell ref="F3:F5"/>
    <mergeCell ref="G3:G5"/>
    <mergeCell ref="D5:E5"/>
    <mergeCell ref="B24:F24"/>
    <mergeCell ref="B26:F26"/>
    <mergeCell ref="B66:F66"/>
    <mergeCell ref="B74:F74"/>
    <mergeCell ref="B88:F88"/>
    <mergeCell ref="B89:F89"/>
    <mergeCell ref="B90:F90"/>
    <mergeCell ref="B91:F91"/>
    <mergeCell ref="B124:G124"/>
    <mergeCell ref="B128:G128"/>
    <mergeCell ref="B131:G131"/>
    <mergeCell ref="B132:G132"/>
    <mergeCell ref="B133:G133"/>
    <mergeCell ref="B135:G135"/>
    <mergeCell ref="B108:F108"/>
    <mergeCell ref="B109:F109"/>
    <mergeCell ref="B113:F113"/>
    <mergeCell ref="B117:F117"/>
    <mergeCell ref="B121:F121"/>
    <mergeCell ref="B148:F148"/>
    <mergeCell ref="B149:F149"/>
    <mergeCell ref="B152:G152"/>
    <mergeCell ref="B156:F156"/>
    <mergeCell ref="B157:F157"/>
    <mergeCell ref="B160:F160"/>
    <mergeCell ref="B143:G143"/>
    <mergeCell ref="B146:F146"/>
    <mergeCell ref="B147:F147"/>
    <mergeCell ref="B154:B155"/>
    <mergeCell ref="F154:F155"/>
    <mergeCell ref="G154:G155"/>
    <mergeCell ref="B181:G181"/>
    <mergeCell ref="B182:G182"/>
    <mergeCell ref="B186:G186"/>
    <mergeCell ref="B190:F190"/>
    <mergeCell ref="B191:F191"/>
    <mergeCell ref="B195:G195"/>
    <mergeCell ref="B165:F165"/>
    <mergeCell ref="B168:F168"/>
    <mergeCell ref="B169:G169"/>
    <mergeCell ref="B170:G170"/>
    <mergeCell ref="B177:G177"/>
    <mergeCell ref="B180:F180"/>
    <mergeCell ref="B192:G192"/>
    <mergeCell ref="B232:F232"/>
    <mergeCell ref="B236:G236"/>
    <mergeCell ref="B241:G241"/>
    <mergeCell ref="B199:F199"/>
    <mergeCell ref="B200:F200"/>
    <mergeCell ref="B201:G201"/>
    <mergeCell ref="B203:G203"/>
    <mergeCell ref="B206:G206"/>
    <mergeCell ref="B227:F227"/>
    <mergeCell ref="B230:F230"/>
    <mergeCell ref="B231:F231"/>
    <mergeCell ref="B217:F217"/>
    <mergeCell ref="B223:G223"/>
    <mergeCell ref="B226:F226"/>
    <mergeCell ref="B218:G218"/>
    <mergeCell ref="B216:F216"/>
    <mergeCell ref="B449:F449"/>
    <mergeCell ref="B450:F450"/>
    <mergeCell ref="B440:F440"/>
    <mergeCell ref="B441:F441"/>
    <mergeCell ref="B445:F445"/>
    <mergeCell ref="B384:F384"/>
    <mergeCell ref="B387:F387"/>
    <mergeCell ref="B389:F389"/>
    <mergeCell ref="B350:F350"/>
    <mergeCell ref="B354:F354"/>
    <mergeCell ref="B355:F355"/>
    <mergeCell ref="B358:F358"/>
    <mergeCell ref="B369:F369"/>
    <mergeCell ref="B370:F370"/>
    <mergeCell ref="B390:F390"/>
    <mergeCell ref="B394:F394"/>
    <mergeCell ref="B395:F395"/>
    <mergeCell ref="B407:F407"/>
    <mergeCell ref="B408:F408"/>
    <mergeCell ref="B409:F409"/>
    <mergeCell ref="B373:F373"/>
    <mergeCell ref="B379:F379"/>
    <mergeCell ref="B383:F383"/>
    <mergeCell ref="B430:F430"/>
    <mergeCell ref="A1:G1"/>
    <mergeCell ref="B446:F446"/>
    <mergeCell ref="B315:F315"/>
    <mergeCell ref="B318:F318"/>
    <mergeCell ref="B336:F336"/>
    <mergeCell ref="B433:F433"/>
    <mergeCell ref="B434:F434"/>
    <mergeCell ref="B411:F411"/>
    <mergeCell ref="B415:F415"/>
    <mergeCell ref="B418:F418"/>
    <mergeCell ref="B421:F421"/>
    <mergeCell ref="B425:F425"/>
    <mergeCell ref="B427:F427"/>
    <mergeCell ref="B297:F297"/>
    <mergeCell ref="B310:F310"/>
    <mergeCell ref="B311:F311"/>
    <mergeCell ref="B312:F312"/>
    <mergeCell ref="B314:F314"/>
    <mergeCell ref="B307:F307"/>
    <mergeCell ref="B266:F266"/>
    <mergeCell ref="B267:F267"/>
    <mergeCell ref="B273:F273"/>
    <mergeCell ref="B274:F274"/>
    <mergeCell ref="B238:G238"/>
    <mergeCell ref="H174:H175"/>
    <mergeCell ref="B163:B164"/>
    <mergeCell ref="F163:F164"/>
    <mergeCell ref="G163:G164"/>
    <mergeCell ref="B138:G138"/>
    <mergeCell ref="B141:G141"/>
    <mergeCell ref="B340:F340"/>
    <mergeCell ref="B343:F343"/>
    <mergeCell ref="B347:F347"/>
    <mergeCell ref="B288:F288"/>
    <mergeCell ref="B275:F275"/>
    <mergeCell ref="B280:F280"/>
    <mergeCell ref="B256:F256"/>
    <mergeCell ref="B262:G262"/>
    <mergeCell ref="B264:G264"/>
    <mergeCell ref="B244:F244"/>
    <mergeCell ref="B245:F245"/>
    <mergeCell ref="B246:G246"/>
    <mergeCell ref="B250:G250"/>
    <mergeCell ref="B255:F255"/>
    <mergeCell ref="B257:G257"/>
    <mergeCell ref="B209:G209"/>
    <mergeCell ref="B212:F212"/>
    <mergeCell ref="B213:F213"/>
  </mergeCells>
  <pageMargins left="0.25" right="0.25" top="0.75" bottom="0.75" header="0.3" footer="0.3"/>
  <pageSetup paperSize="9" scale="10" fitToHeight="0" orientation="portrait" r:id="rId1"/>
  <colBreaks count="1" manualBreakCount="1">
    <brk id="7" max="45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2"/>
  <sheetViews>
    <sheetView zoomScaleNormal="100" workbookViewId="0">
      <selection activeCell="I15" sqref="I15"/>
    </sheetView>
  </sheetViews>
  <sheetFormatPr defaultRowHeight="12.75" x14ac:dyDescent="0.2"/>
  <cols>
    <col min="1" max="1" width="20.5703125" style="1" customWidth="1"/>
    <col min="2" max="2" width="15" style="1" customWidth="1"/>
    <col min="3" max="3" width="11.28515625" style="1" customWidth="1"/>
    <col min="4" max="4" width="9.7109375" style="78" customWidth="1"/>
    <col min="5" max="5" width="9.85546875" style="1" customWidth="1"/>
    <col min="6" max="6" width="10" style="1" customWidth="1"/>
    <col min="7" max="7" width="10.7109375" style="1" customWidth="1"/>
    <col min="8" max="8" width="13.7109375" style="1" customWidth="1"/>
    <col min="9" max="9" width="16.140625" style="1" customWidth="1"/>
    <col min="10" max="10" width="10.140625" style="1" customWidth="1"/>
    <col min="11" max="11" width="9.5703125" style="1" customWidth="1"/>
    <col min="12" max="12" width="21.140625" style="1" customWidth="1"/>
    <col min="13" max="13" width="13.28515625" style="1" customWidth="1"/>
    <col min="14" max="14" width="12.42578125" style="1" customWidth="1"/>
    <col min="15" max="15" width="11.7109375" style="1" customWidth="1"/>
    <col min="16" max="16" width="8.5703125" style="1" customWidth="1"/>
    <col min="17" max="17" width="9.85546875" style="1" customWidth="1"/>
    <col min="18" max="19" width="11" style="1" customWidth="1"/>
    <col min="20" max="20" width="8.7109375" style="1" customWidth="1"/>
    <col min="21" max="21" width="14.5703125" style="1" customWidth="1"/>
    <col min="22" max="22" width="11.140625" style="1" customWidth="1"/>
    <col min="23" max="23" width="12" style="1" customWidth="1"/>
    <col min="24" max="16384" width="9.140625" style="1"/>
  </cols>
  <sheetData>
    <row r="1" spans="1:24" x14ac:dyDescent="0.2">
      <c r="A1" s="842" t="s">
        <v>1160</v>
      </c>
      <c r="B1" s="842"/>
      <c r="C1" s="842"/>
      <c r="D1" s="842"/>
      <c r="E1" s="842"/>
      <c r="F1" s="842"/>
      <c r="G1" s="842"/>
      <c r="H1" s="842"/>
      <c r="I1" s="842"/>
      <c r="J1" s="842"/>
      <c r="K1" s="842"/>
      <c r="L1" s="842"/>
      <c r="M1" s="842"/>
      <c r="N1" s="842"/>
      <c r="O1" s="842"/>
      <c r="P1" s="842"/>
      <c r="Q1" s="842"/>
      <c r="R1" s="842"/>
      <c r="S1" s="842"/>
      <c r="T1" s="842"/>
      <c r="U1" s="842"/>
      <c r="V1" s="842"/>
    </row>
    <row r="3" spans="1:24" x14ac:dyDescent="0.2">
      <c r="V3" s="9"/>
      <c r="W3" s="9" t="s">
        <v>31</v>
      </c>
    </row>
    <row r="4" spans="1:24" s="12" customFormat="1" ht="171.75" customHeight="1" x14ac:dyDescent="0.25">
      <c r="A4" s="10"/>
      <c r="B4" s="3" t="str">
        <f>свод!B5</f>
        <v xml:space="preserve">Муниципальная программа «Обеспечение качественным жильем и повышение качества жилищно-коммунальных услуг в МР «Горный улус» на 2020-2024годы» </v>
      </c>
      <c r="C4" s="3" t="str">
        <f>свод!B20</f>
        <v>Муниципальная программа «Развитие  дорожного хозяйства в МР «Горный улус» на 2020-2024 годы»</v>
      </c>
      <c r="D4" s="3" t="str">
        <f>свод!B371</f>
        <v xml:space="preserve">Муниципальная программа «Энергосбережение на территории МР "Горный улус" на 2020-2024 годы» </v>
      </c>
      <c r="E4" s="4" t="str">
        <f>свод!B186</f>
        <v xml:space="preserve">Муниципальная программа «Развитие сельскохозяйственного производства Горного улуса РС(Я) на 2021-2025 годы» </v>
      </c>
      <c r="F4" s="4" t="str">
        <f>свод!B161</f>
        <v>Муниципальная программа «Управление муниципальной собственностью МР "Горный улус"  на 2020-2024 годы»</v>
      </c>
      <c r="G4" s="18" t="str">
        <f>свод!B112</f>
        <v>Муниципальная программа «Развитие предпринимательства и туризма в Горном улусе на 2020-2024 годы»</v>
      </c>
      <c r="H4" s="11" t="str">
        <f>свод!B92</f>
        <v>Ведомственная целевая программа «Развитие информационного общества в МР "Горный улус" на 2020-2024 годы»</v>
      </c>
      <c r="I4" s="6" t="str">
        <f>свод!B36</f>
        <v>Ведомственная целевая программа «Развитие кадрового потенциала муниципальных служащих и работников органов местного самоуправления МР "Горный улус" на 2020-2024годы»</v>
      </c>
      <c r="J4" s="11" t="str">
        <f>свод!B24</f>
        <v>Ведомственная целевая программа "Охрана труда в МР «Горный улус» на 2020-2024годы"</v>
      </c>
      <c r="K4" s="3" t="str">
        <f>свод!B53</f>
        <v>Муниципальная программа  «Старшее поколение Горного улуса на 2020-2024 годы»</v>
      </c>
      <c r="L4" s="4" t="str">
        <f>свод!B65</f>
        <v>Муниципальная программа «Содействие развитию институтов гражданского общества, поддержка социально ориентированных некоммерческих организаций и территориальных общественных самоуправлений в Горном улусе на 2021-2025 годы»</v>
      </c>
      <c r="M4" s="11" t="str">
        <f>свод!B75</f>
        <v>Муниципальная программа «Обеспечение безбарьерной среды жизнедеятельности инвалидов в Горном улусе на 2020 - 2024 годы»</v>
      </c>
      <c r="N4" s="11" t="str">
        <f>свод!B38</f>
        <v>Муниципальная программа  «Семейная политика в Горном улусе на 2020-2024 годы»</v>
      </c>
      <c r="O4" s="4" t="str">
        <f>свод!B80</f>
        <v>Муниципальная программа «Профилактика правонарушений в Горном улусе на 2020-2024 годы»</v>
      </c>
      <c r="P4" s="4" t="str">
        <f>свод!B138</f>
        <v>Муниципальная программа «Молодежная политика Горного улуса на 2020 - 2024 годы»</v>
      </c>
      <c r="Q4" s="11" t="str">
        <f>свод!B122</f>
        <v xml:space="preserve">Муниципальная программа «Развитие физической культуры и спорта в МР «Горный улус» на 2018-2024 годы» </v>
      </c>
      <c r="R4" s="3" t="str">
        <f>свод!B334</f>
        <v>Муниципальная программа «Создание условий для духовно-культурного развития граждан  Горного улуса  на 2020 - 2024 годы»</v>
      </c>
      <c r="S4" s="4" t="str">
        <f>свод!B237</f>
        <v>Муниципальная программа «Развитие образования муниципального района  «Горный улус» на 2020-2024 годы»</v>
      </c>
      <c r="T4" s="3" t="str">
        <f>свод!B157</f>
        <v>Муниципальная программа «Охрана окружающей среды в Горном улусе  на 2017-2024 годы»</v>
      </c>
      <c r="U4" s="4" t="str">
        <f>свод!B175</f>
        <v>Ведомственная целевая программа «Повышение эффективности управления муниципальными финансами муниципального района «Горный улус» на 2020-2024 годы»</v>
      </c>
      <c r="V4" s="3" t="str">
        <f>свод!B180</f>
        <v>Муниципальная программа «Газификация населенных пунктов муниципального района «Горный улус» на 2019-2023 годы»</v>
      </c>
      <c r="W4" s="3" t="str">
        <f>свод!B366</f>
        <v>Муниципальная программа «Комплексное развитие сельских территорий в Горном улусе на 2020-2025 годы»</v>
      </c>
    </row>
    <row r="5" spans="1:24" ht="26.25" customHeight="1" x14ac:dyDescent="0.25">
      <c r="A5" s="13" t="s">
        <v>32</v>
      </c>
      <c r="B5" s="14">
        <v>89</v>
      </c>
      <c r="C5" s="14">
        <v>100</v>
      </c>
      <c r="D5" s="14"/>
      <c r="E5" s="14">
        <v>89</v>
      </c>
      <c r="F5" s="14">
        <v>92.5</v>
      </c>
      <c r="G5" s="14"/>
      <c r="H5" s="14">
        <v>88</v>
      </c>
      <c r="I5" s="14"/>
      <c r="J5" s="14"/>
      <c r="K5" s="14">
        <v>88</v>
      </c>
      <c r="L5" s="14">
        <v>88</v>
      </c>
      <c r="M5" s="14">
        <v>100</v>
      </c>
      <c r="N5" s="14"/>
      <c r="O5" s="14">
        <v>88</v>
      </c>
      <c r="P5" s="14">
        <v>88</v>
      </c>
      <c r="Q5" s="14">
        <v>88</v>
      </c>
      <c r="R5" s="14">
        <v>88</v>
      </c>
      <c r="S5" s="14">
        <v>89</v>
      </c>
      <c r="T5" s="14"/>
      <c r="U5" s="732"/>
      <c r="V5" s="732"/>
      <c r="W5" s="14">
        <v>81.5</v>
      </c>
      <c r="X5" s="730">
        <f>SUM(B5:W5)</f>
        <v>1257</v>
      </c>
    </row>
    <row r="6" spans="1:24" ht="39.75" customHeight="1" x14ac:dyDescent="0.25">
      <c r="A6" s="13" t="s">
        <v>33</v>
      </c>
      <c r="B6" s="14"/>
      <c r="C6" s="113"/>
      <c r="D6" s="14"/>
      <c r="E6" s="14"/>
      <c r="F6" s="14"/>
      <c r="G6" s="14">
        <v>77</v>
      </c>
      <c r="H6" s="14"/>
      <c r="I6" s="14">
        <v>77</v>
      </c>
      <c r="J6" s="14">
        <v>77</v>
      </c>
      <c r="K6" s="14"/>
      <c r="L6" s="14"/>
      <c r="M6" s="14"/>
      <c r="N6" s="14">
        <v>77</v>
      </c>
      <c r="O6" s="14"/>
      <c r="P6" s="14"/>
      <c r="Q6" s="14"/>
      <c r="R6" s="14"/>
      <c r="S6" s="14"/>
      <c r="T6" s="14">
        <v>77</v>
      </c>
      <c r="U6" s="732">
        <v>76.5</v>
      </c>
      <c r="V6" s="732">
        <v>73</v>
      </c>
      <c r="W6" s="14"/>
      <c r="X6" s="730">
        <f>SUM(B6:W6)</f>
        <v>534.5</v>
      </c>
    </row>
    <row r="7" spans="1:24" ht="39.75" x14ac:dyDescent="0.25">
      <c r="A7" s="13" t="s">
        <v>34</v>
      </c>
      <c r="B7" s="113"/>
      <c r="C7" s="14"/>
      <c r="D7" s="14">
        <v>50.7</v>
      </c>
      <c r="E7" s="14"/>
      <c r="F7" s="14"/>
      <c r="G7" s="14"/>
      <c r="H7" s="14"/>
      <c r="I7" s="14"/>
      <c r="J7" s="14"/>
      <c r="K7" s="14"/>
      <c r="L7" s="14"/>
      <c r="M7" s="14"/>
      <c r="N7" s="14"/>
      <c r="O7" s="14"/>
      <c r="P7" s="14"/>
      <c r="Q7" s="14"/>
      <c r="R7" s="14"/>
      <c r="S7" s="14"/>
      <c r="T7" s="14"/>
      <c r="U7" s="14"/>
      <c r="V7" s="14"/>
      <c r="W7" s="14"/>
      <c r="X7" s="730">
        <f>SUM(B7:W7)</f>
        <v>50.7</v>
      </c>
    </row>
    <row r="8" spans="1:24" ht="34.5" customHeight="1" x14ac:dyDescent="0.25">
      <c r="A8" s="13" t="s">
        <v>35</v>
      </c>
      <c r="B8" s="14"/>
      <c r="C8" s="14"/>
      <c r="D8" s="14"/>
      <c r="E8" s="14"/>
      <c r="F8" s="14"/>
      <c r="G8" s="14"/>
      <c r="H8" s="14"/>
      <c r="I8" s="14"/>
      <c r="J8" s="14"/>
      <c r="K8" s="14"/>
      <c r="L8" s="14"/>
      <c r="M8" s="14"/>
      <c r="N8" s="14"/>
      <c r="O8" s="14"/>
      <c r="P8" s="14"/>
      <c r="Q8" s="14"/>
      <c r="R8" s="14"/>
      <c r="S8" s="14"/>
      <c r="T8" s="14"/>
      <c r="U8" s="14"/>
      <c r="V8" s="14"/>
      <c r="W8" s="14"/>
    </row>
    <row r="9" spans="1:24" x14ac:dyDescent="0.2">
      <c r="X9" s="730">
        <f>SUM(X5:X8)/22</f>
        <v>83.736363636363635</v>
      </c>
    </row>
    <row r="11" spans="1:24" ht="15.75" x14ac:dyDescent="0.25">
      <c r="A11" s="168" t="s">
        <v>926</v>
      </c>
    </row>
    <row r="12" spans="1:24" ht="15.75" x14ac:dyDescent="0.25">
      <c r="A12" s="168" t="s">
        <v>927</v>
      </c>
    </row>
  </sheetData>
  <mergeCells count="1">
    <mergeCell ref="A1:V1"/>
  </mergeCells>
  <pageMargins left="0.7" right="0.7" top="0.75" bottom="0.75" header="0.3" footer="0.3"/>
  <pageSetup paperSize="9"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7"/>
  <sheetViews>
    <sheetView topLeftCell="A10" zoomScaleNormal="100"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6" customHeight="1" x14ac:dyDescent="0.25">
      <c r="A4" s="845" t="str">
        <f>[1]свод!B5</f>
        <v xml:space="preserve">Муниципальная программа «Обеспечение качественным жильем и повышение качества жилищно-коммунальных услуг в МР «Горный улус» на 2020-2024годы» </v>
      </c>
      <c r="B4" s="845"/>
      <c r="C4" s="845"/>
      <c r="D4" s="845"/>
      <c r="E4" s="845"/>
    </row>
    <row r="5" spans="1:5" ht="15.75" x14ac:dyDescent="0.25">
      <c r="A5" s="845" t="s">
        <v>1210</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t="15" hidden="1" customHeight="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80</v>
      </c>
      <c r="E11" s="744">
        <f>SUM(C11*D11)</f>
        <v>44</v>
      </c>
    </row>
    <row r="12" spans="1:5" ht="47.25" customHeight="1"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 x14ac:dyDescent="0.25">
      <c r="A14" s="744">
        <v>4</v>
      </c>
      <c r="B14" s="587" t="s">
        <v>19</v>
      </c>
      <c r="C14" s="744">
        <v>0.15</v>
      </c>
      <c r="D14" s="744">
        <v>100</v>
      </c>
      <c r="E14" s="744">
        <f>SUM(C14*D14)</f>
        <v>15</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89</v>
      </c>
    </row>
    <row r="17" spans="1:1" ht="15.75" x14ac:dyDescent="0.25">
      <c r="A17" s="750"/>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7"/>
  <sheetViews>
    <sheetView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15.75" x14ac:dyDescent="0.25">
      <c r="A4" s="852" t="str">
        <f>[1]оценка!C4</f>
        <v>Муниципальная программа «Развитие  дорожного хозяйства в МР «Горный улус» на 2020-2024 годы»</v>
      </c>
      <c r="B4" s="852"/>
      <c r="C4" s="852"/>
      <c r="D4" s="852"/>
      <c r="E4" s="852"/>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t="15" hidden="1" customHeight="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100</v>
      </c>
      <c r="E11" s="744">
        <f>SUM(C11*D11)</f>
        <v>55.000000000000007</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 x14ac:dyDescent="0.25">
      <c r="A14" s="744">
        <v>4</v>
      </c>
      <c r="B14" s="587" t="s">
        <v>19</v>
      </c>
      <c r="C14" s="744">
        <v>0.15</v>
      </c>
      <c r="D14" s="744">
        <v>100</v>
      </c>
      <c r="E14" s="744">
        <f>SUM(C14*D14)</f>
        <v>15</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100</v>
      </c>
    </row>
    <row r="17" spans="1:1" ht="15.75" x14ac:dyDescent="0.25">
      <c r="A17" s="750"/>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zoomScale="85" zoomScaleNormal="85"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15.75" x14ac:dyDescent="0.25">
      <c r="A4" s="852" t="str">
        <f>[1]оценка!D4</f>
        <v xml:space="preserve">Муниципальная программа «Энергосбережение на территории МР "Горный улус" на 2020-2024 годы» </v>
      </c>
      <c r="B4" s="852"/>
      <c r="C4" s="852"/>
      <c r="D4" s="852"/>
      <c r="E4" s="852"/>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t="15" hidden="1" customHeight="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66.7</v>
      </c>
      <c r="E11" s="751">
        <f>SUM(C11*D11)</f>
        <v>36.685000000000002</v>
      </c>
    </row>
    <row r="12" spans="1:5" ht="63" x14ac:dyDescent="0.25">
      <c r="A12" s="744">
        <v>2</v>
      </c>
      <c r="B12" s="587" t="s">
        <v>24</v>
      </c>
      <c r="C12" s="744">
        <v>0.01</v>
      </c>
      <c r="D12" s="745">
        <v>0</v>
      </c>
      <c r="E12" s="744">
        <f>SUM(C12*D12)</f>
        <v>0</v>
      </c>
    </row>
    <row r="13" spans="1:5" ht="47.25" x14ac:dyDescent="0.25">
      <c r="A13" s="744">
        <v>3</v>
      </c>
      <c r="B13" s="587" t="s">
        <v>25</v>
      </c>
      <c r="C13" s="744">
        <v>0.15</v>
      </c>
      <c r="D13" s="745">
        <v>0</v>
      </c>
      <c r="E13" s="744">
        <f>SUM(C13*D13)</f>
        <v>0</v>
      </c>
    </row>
    <row r="14" spans="1:5" ht="63" x14ac:dyDescent="0.25">
      <c r="A14" s="744">
        <v>4</v>
      </c>
      <c r="B14" s="587" t="s">
        <v>19</v>
      </c>
      <c r="C14" s="744">
        <v>0.15</v>
      </c>
      <c r="D14" s="744">
        <v>0</v>
      </c>
      <c r="E14" s="744">
        <f>SUM(C14*D14)</f>
        <v>0</v>
      </c>
    </row>
    <row r="15" spans="1:5" ht="47.25" x14ac:dyDescent="0.25">
      <c r="A15" s="746">
        <v>5</v>
      </c>
      <c r="B15" s="747" t="s">
        <v>26</v>
      </c>
      <c r="C15" s="748">
        <v>0.14000000000000001</v>
      </c>
      <c r="D15" s="748">
        <v>100</v>
      </c>
      <c r="E15" s="744">
        <f>SUM(C15*D15)</f>
        <v>14.000000000000002</v>
      </c>
    </row>
    <row r="16" spans="1:5" ht="21.75" customHeight="1" x14ac:dyDescent="0.25">
      <c r="A16" s="668"/>
      <c r="B16" s="843" t="s">
        <v>1215</v>
      </c>
      <c r="C16" s="843"/>
      <c r="D16" s="843"/>
      <c r="E16" s="749">
        <f>SUM(E11:E15)</f>
        <v>50.685000000000002</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7"/>
  <sheetViews>
    <sheetView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15.75" customHeight="1" x14ac:dyDescent="0.25">
      <c r="A4" s="845" t="str">
        <f>[1]оценка!E4</f>
        <v xml:space="preserve">Муниципальная программа «Развитие сельскохозяйственного производства Горного улуса РС(Я) на 2021-2025 годы» </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80</v>
      </c>
      <c r="E11" s="744">
        <f>SUM(C11*D11)</f>
        <v>44</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 x14ac:dyDescent="0.25">
      <c r="A14" s="744">
        <v>4</v>
      </c>
      <c r="B14" s="587" t="s">
        <v>19</v>
      </c>
      <c r="C14" s="744">
        <v>0.15</v>
      </c>
      <c r="D14" s="744">
        <v>100</v>
      </c>
      <c r="E14" s="744">
        <f>SUM(C14*D14)</f>
        <v>15</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89</v>
      </c>
    </row>
    <row r="17" spans="1:1" ht="15.75" customHeight="1" x14ac:dyDescent="0.25">
      <c r="A17" s="750"/>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[1]оценка!F4</f>
        <v>Муниципальная программа «Управление муниципальной собственностью МР "Горный улус"  на 2020-2024 годы»</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95.25" customHeight="1" x14ac:dyDescent="0.25">
      <c r="A11" s="744">
        <v>1</v>
      </c>
      <c r="B11" s="587" t="s">
        <v>906</v>
      </c>
      <c r="C11" s="744">
        <v>0.55000000000000004</v>
      </c>
      <c r="D11" s="744">
        <v>100</v>
      </c>
      <c r="E11" s="744">
        <f>SUM(C11*D11)</f>
        <v>55.000000000000007</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 x14ac:dyDescent="0.25">
      <c r="A14" s="744">
        <v>4</v>
      </c>
      <c r="B14" s="587" t="s">
        <v>19</v>
      </c>
      <c r="C14" s="744">
        <v>0.15</v>
      </c>
      <c r="D14" s="744">
        <v>50</v>
      </c>
      <c r="E14" s="744">
        <f>SUM(C14*D14)</f>
        <v>7.5</v>
      </c>
    </row>
    <row r="15" spans="1:5" ht="47.25" x14ac:dyDescent="0.25">
      <c r="A15" s="746">
        <v>5</v>
      </c>
      <c r="B15" s="747" t="s">
        <v>26</v>
      </c>
      <c r="C15" s="748">
        <v>0.14000000000000001</v>
      </c>
      <c r="D15" s="748">
        <v>100</v>
      </c>
      <c r="E15" s="744">
        <f>SUM(C15*D15)</f>
        <v>14.000000000000002</v>
      </c>
    </row>
    <row r="16" spans="1:5" ht="15.75" customHeight="1" x14ac:dyDescent="0.25">
      <c r="A16" s="668"/>
      <c r="B16" s="843" t="s">
        <v>1215</v>
      </c>
      <c r="C16" s="843"/>
      <c r="D16" s="843"/>
      <c r="E16" s="749">
        <f>SUM(E11:E15)</f>
        <v>92.5</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7"/>
  <sheetViews>
    <sheetView topLeftCell="A4"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[1]оценка!G4</f>
        <v>Муниципальная программа «Развитие предпринимательства и туризма в Горном улусе на 2020-2024 годы»</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80</v>
      </c>
      <c r="E11" s="744">
        <f>SUM(C11*D11)</f>
        <v>44</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77</v>
      </c>
    </row>
    <row r="17" spans="1:1" ht="15.75" x14ac:dyDescent="0.25">
      <c r="A17" s="750"/>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7"/>
  <sheetViews>
    <sheetView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15.75" x14ac:dyDescent="0.25">
      <c r="A4" s="852" t="str">
        <f>[1]оценка!H4</f>
        <v>Ведомственная целевая программа «Развитие информационного общества в МР "Горный улус" на 2020-2024 годы»</v>
      </c>
      <c r="B4" s="852"/>
      <c r="C4" s="852"/>
      <c r="D4" s="852"/>
      <c r="E4" s="852"/>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100</v>
      </c>
      <c r="E11" s="744">
        <f>SUM(C11*D11)</f>
        <v>55.000000000000007</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4.5" customHeight="1"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88</v>
      </c>
    </row>
    <row r="17" spans="1:1" ht="15.75" x14ac:dyDescent="0.25">
      <c r="A17" s="750"/>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[1]оценка!I4</f>
        <v>Ведомственная целевая программа «Развитие кадрового потенциала муниципальных служащих и работников органов местного самоуправления МР "Горный улус" на 2020-2024годы»</v>
      </c>
      <c r="B4" s="845"/>
      <c r="C4" s="845"/>
      <c r="D4" s="845"/>
      <c r="E4" s="845"/>
    </row>
    <row r="5" spans="1:5" ht="15.75" x14ac:dyDescent="0.25">
      <c r="A5" s="845" t="s">
        <v>1217</v>
      </c>
      <c r="B5" s="845"/>
      <c r="C5" s="845"/>
      <c r="D5" s="845"/>
      <c r="E5" s="845"/>
    </row>
    <row r="6" spans="1:5" ht="15.75" x14ac:dyDescent="0.25">
      <c r="A6" s="742"/>
    </row>
    <row r="7" spans="1:5" ht="92.25" customHeight="1" x14ac:dyDescent="0.25">
      <c r="A7" s="846" t="s">
        <v>1</v>
      </c>
      <c r="B7" s="853" t="s">
        <v>1211</v>
      </c>
      <c r="C7" s="854" t="s">
        <v>1212</v>
      </c>
      <c r="D7" s="853" t="s">
        <v>1213</v>
      </c>
      <c r="E7" s="854" t="s">
        <v>1214</v>
      </c>
    </row>
    <row r="8" spans="1:5" ht="1.5" customHeight="1" x14ac:dyDescent="0.25">
      <c r="A8" s="846"/>
      <c r="B8" s="853"/>
      <c r="C8" s="855"/>
      <c r="D8" s="853"/>
      <c r="E8" s="857"/>
    </row>
    <row r="9" spans="1:5" hidden="1" x14ac:dyDescent="0.25">
      <c r="A9" s="846"/>
      <c r="B9" s="853"/>
      <c r="C9" s="856"/>
      <c r="D9" s="853"/>
      <c r="E9" s="858"/>
    </row>
    <row r="10" spans="1:5" x14ac:dyDescent="0.25">
      <c r="A10" s="743">
        <v>1</v>
      </c>
      <c r="B10" s="743">
        <v>2</v>
      </c>
      <c r="C10" s="743">
        <v>3</v>
      </c>
      <c r="D10" s="743">
        <v>4</v>
      </c>
      <c r="E10" s="743">
        <v>5</v>
      </c>
    </row>
    <row r="11" spans="1:5" ht="110.25" x14ac:dyDescent="0.25">
      <c r="A11" s="744">
        <v>1</v>
      </c>
      <c r="B11" s="587" t="s">
        <v>906</v>
      </c>
      <c r="C11" s="744">
        <v>0.55000000000000004</v>
      </c>
      <c r="D11" s="744">
        <v>80</v>
      </c>
      <c r="E11" s="744">
        <f>SUM(C11*D11)</f>
        <v>44</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75" customHeight="1"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77</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15.75" x14ac:dyDescent="0.25">
      <c r="A4" s="852" t="str">
        <f>[1]оценка!J4</f>
        <v>Ведомственная целевая программа "Охрана труда в МР «Горный улус» на 2020-2024годы"</v>
      </c>
      <c r="B4" s="852"/>
      <c r="C4" s="852"/>
      <c r="D4" s="852"/>
      <c r="E4" s="852"/>
    </row>
    <row r="5" spans="1:5" ht="15.75" x14ac:dyDescent="0.25">
      <c r="A5" s="845" t="s">
        <v>1216</v>
      </c>
      <c r="B5" s="845"/>
      <c r="C5" s="845"/>
      <c r="D5" s="845"/>
      <c r="E5" s="845"/>
    </row>
    <row r="6" spans="1:5" ht="15.75" x14ac:dyDescent="0.25">
      <c r="A6" s="742"/>
    </row>
    <row r="7" spans="1:5" ht="78" customHeight="1" x14ac:dyDescent="0.25">
      <c r="A7" s="853" t="s">
        <v>1</v>
      </c>
      <c r="B7" s="853" t="s">
        <v>1211</v>
      </c>
      <c r="C7" s="854" t="s">
        <v>1212</v>
      </c>
      <c r="D7" s="853" t="s">
        <v>1213</v>
      </c>
      <c r="E7" s="854" t="s">
        <v>1218</v>
      </c>
    </row>
    <row r="8" spans="1:5" ht="1.5" customHeight="1" x14ac:dyDescent="0.25">
      <c r="A8" s="853"/>
      <c r="B8" s="853"/>
      <c r="C8" s="855"/>
      <c r="D8" s="853"/>
      <c r="E8" s="857"/>
    </row>
    <row r="9" spans="1:5" hidden="1" x14ac:dyDescent="0.25">
      <c r="A9" s="853"/>
      <c r="B9" s="853"/>
      <c r="C9" s="856"/>
      <c r="D9" s="853"/>
      <c r="E9" s="858"/>
    </row>
    <row r="10" spans="1:5" x14ac:dyDescent="0.25">
      <c r="A10" s="743">
        <v>1</v>
      </c>
      <c r="B10" s="743">
        <v>2</v>
      </c>
      <c r="C10" s="743">
        <v>3</v>
      </c>
      <c r="D10" s="743">
        <v>4</v>
      </c>
      <c r="E10" s="743">
        <v>5</v>
      </c>
    </row>
    <row r="11" spans="1:5" ht="110.25" x14ac:dyDescent="0.25">
      <c r="A11" s="744">
        <v>1</v>
      </c>
      <c r="B11" s="587" t="s">
        <v>906</v>
      </c>
      <c r="C11" s="744">
        <v>0.55000000000000004</v>
      </c>
      <c r="D11" s="744">
        <v>80</v>
      </c>
      <c r="E11" s="744">
        <f>SUM(C11*D11)</f>
        <v>44</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75" customHeight="1"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77</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workbookViewId="0">
      <selection activeCell="G18" sqref="G18"/>
    </sheetView>
  </sheetViews>
  <sheetFormatPr defaultColWidth="26.85546875" defaultRowHeight="15" x14ac:dyDescent="0.25"/>
  <cols>
    <col min="1" max="1" width="6.42578125" customWidth="1"/>
    <col min="2" max="2" width="40" customWidth="1"/>
    <col min="7" max="7" width="42"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[1]оценка!K4</f>
        <v>Муниципальная программа  «Старшее поколение Горного улуса на 2020-2024 годы»</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100</v>
      </c>
      <c r="E11" s="744">
        <f>SUM(C11*D11)</f>
        <v>55.000000000000007</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54" customHeight="1"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88</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7"/>
  <sheetViews>
    <sheetView workbookViewId="0">
      <selection activeCell="D12" sqref="D12"/>
    </sheetView>
  </sheetViews>
  <sheetFormatPr defaultColWidth="26.85546875" defaultRowHeight="15" x14ac:dyDescent="0.25"/>
  <cols>
    <col min="1" max="1" width="6.42578125" customWidth="1"/>
    <col min="2" max="2" width="40" customWidth="1"/>
    <col min="4" max="4" width="26.85546875" style="752"/>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[1]оценка!L4</f>
        <v>Муниципальная программа «Содействие развитию институтов гражданского общества, поддержка социально ориентированных некоммерческих организаций и территориальных общественных самоуправлений в Горном улусе на 2021-2025 годы»</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53" t="s">
        <v>1</v>
      </c>
      <c r="B7" s="853" t="s">
        <v>1211</v>
      </c>
      <c r="C7" s="854" t="s">
        <v>1212</v>
      </c>
      <c r="D7" s="859" t="s">
        <v>1213</v>
      </c>
      <c r="E7" s="854" t="s">
        <v>1218</v>
      </c>
    </row>
    <row r="8" spans="1:5" ht="1.5" customHeight="1" x14ac:dyDescent="0.25">
      <c r="A8" s="853"/>
      <c r="B8" s="853"/>
      <c r="C8" s="855"/>
      <c r="D8" s="859"/>
      <c r="E8" s="857"/>
    </row>
    <row r="9" spans="1:5" hidden="1" x14ac:dyDescent="0.25">
      <c r="A9" s="853"/>
      <c r="B9" s="853"/>
      <c r="C9" s="856"/>
      <c r="D9" s="859"/>
      <c r="E9" s="858"/>
    </row>
    <row r="10" spans="1:5" x14ac:dyDescent="0.25">
      <c r="A10" s="743">
        <v>1</v>
      </c>
      <c r="B10" s="743">
        <v>2</v>
      </c>
      <c r="C10" s="743">
        <v>3</v>
      </c>
      <c r="D10" s="753">
        <v>4</v>
      </c>
      <c r="E10" s="743">
        <v>5</v>
      </c>
    </row>
    <row r="11" spans="1:5" ht="110.25" x14ac:dyDescent="0.25">
      <c r="A11" s="744">
        <v>1</v>
      </c>
      <c r="B11" s="587" t="s">
        <v>906</v>
      </c>
      <c r="C11" s="744">
        <v>0.55000000000000004</v>
      </c>
      <c r="D11" s="744">
        <v>100</v>
      </c>
      <c r="E11" s="744">
        <f>SUM(C11*D11)</f>
        <v>55.000000000000007</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88</v>
      </c>
    </row>
    <row r="17" spans="1:1" ht="15.75" x14ac:dyDescent="0.25">
      <c r="A17" s="750"/>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7"/>
  <sheetViews>
    <sheetView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15.75" x14ac:dyDescent="0.25">
      <c r="A4" s="852" t="str">
        <f>[1]оценка!M4</f>
        <v>Муниципальная программа «Обеспечение безбарьерной среды жизнедеятельности инвалидов в Горном улусе на 2020 - 2024 годы»</v>
      </c>
      <c r="B4" s="852"/>
      <c r="C4" s="852"/>
      <c r="D4" s="852"/>
      <c r="E4" s="852"/>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100</v>
      </c>
      <c r="E11" s="744">
        <f>SUM(C11*D11)</f>
        <v>55.000000000000007</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75" customHeight="1" x14ac:dyDescent="0.25">
      <c r="A14" s="744">
        <v>4</v>
      </c>
      <c r="B14" s="587" t="s">
        <v>19</v>
      </c>
      <c r="C14" s="744">
        <v>0.15</v>
      </c>
      <c r="D14" s="744">
        <v>100</v>
      </c>
      <c r="E14" s="744">
        <f>SUM(C14*D14)</f>
        <v>15</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100</v>
      </c>
    </row>
    <row r="17" spans="1:1" ht="15.75" x14ac:dyDescent="0.25">
      <c r="A17" s="750"/>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7"/>
  <sheetViews>
    <sheetView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15.75" x14ac:dyDescent="0.25">
      <c r="A4" s="852" t="str">
        <f>[1]оценка!N4</f>
        <v>Муниципальная программа  «Семейная политика в Горном улусе на 2020-2024 годы»</v>
      </c>
      <c r="B4" s="852"/>
      <c r="C4" s="852"/>
      <c r="D4" s="852"/>
      <c r="E4" s="852"/>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80</v>
      </c>
      <c r="E11" s="744">
        <f>SUM(C11*D11)</f>
        <v>44</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77</v>
      </c>
    </row>
    <row r="17" spans="1:1" ht="15.75" x14ac:dyDescent="0.25">
      <c r="A17" s="750"/>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topLeftCell="A4"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[1]оценка!O4</f>
        <v>Муниципальная программа «Профилактика правонарушений в Горном улусе на 2020-2024 годы»</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100</v>
      </c>
      <c r="E11" s="744">
        <f>SUM(C11*D11)</f>
        <v>55.000000000000007</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4.5" customHeight="1"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88</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topLeftCell="A4"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[1]оценка!P4</f>
        <v>Муниципальная программа «Молодежная политика Горного улуса на 2020 - 2024 годы»</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99" customHeight="1" x14ac:dyDescent="0.25">
      <c r="A11" s="744">
        <v>1</v>
      </c>
      <c r="B11" s="587" t="s">
        <v>906</v>
      </c>
      <c r="C11" s="744">
        <v>0.55000000000000004</v>
      </c>
      <c r="D11" s="744">
        <v>100</v>
      </c>
      <c r="E11" s="744">
        <f>SUM(C11*D11)</f>
        <v>55.000000000000007</v>
      </c>
    </row>
    <row r="12" spans="1:5" ht="52.5" customHeight="1" x14ac:dyDescent="0.25">
      <c r="A12" s="744">
        <v>2</v>
      </c>
      <c r="B12" s="587" t="s">
        <v>24</v>
      </c>
      <c r="C12" s="744">
        <v>0.01</v>
      </c>
      <c r="D12" s="745">
        <v>100</v>
      </c>
      <c r="E12" s="744">
        <f>SUM(C12*D12)</f>
        <v>1</v>
      </c>
    </row>
    <row r="13" spans="1:5" ht="51" customHeight="1" x14ac:dyDescent="0.25">
      <c r="A13" s="744">
        <v>3</v>
      </c>
      <c r="B13" s="587" t="s">
        <v>25</v>
      </c>
      <c r="C13" s="744">
        <v>0.15</v>
      </c>
      <c r="D13" s="745">
        <v>100</v>
      </c>
      <c r="E13" s="744">
        <f>SUM(C13*D13)</f>
        <v>15</v>
      </c>
    </row>
    <row r="14" spans="1:5" ht="63" customHeight="1" x14ac:dyDescent="0.25">
      <c r="A14" s="744">
        <v>4</v>
      </c>
      <c r="B14" s="587" t="s">
        <v>19</v>
      </c>
      <c r="C14" s="744">
        <v>0.15</v>
      </c>
      <c r="D14" s="744">
        <v>20</v>
      </c>
      <c r="E14" s="744">
        <f>SUM(C14*D14)</f>
        <v>3</v>
      </c>
    </row>
    <row r="15" spans="1:5" ht="50.25" customHeight="1"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88</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topLeftCell="A4"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[1]оценка!Q4</f>
        <v xml:space="preserve">Муниципальная программа «Развитие физической культуры и спорта в МР «Горный улус» на 2018-2024 годы» </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100</v>
      </c>
      <c r="E11" s="744">
        <f>SUM(C11*D11)</f>
        <v>55.000000000000007</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6" customHeight="1"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88</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topLeftCell="A4"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[1]оценка!S4</f>
        <v>Муниципальная программа «Развитие образования муниципального района  «Горный улус» на 2020-2024 годы»</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80</v>
      </c>
      <c r="E11" s="744">
        <f>SUM(C11*D11)</f>
        <v>44</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3" x14ac:dyDescent="0.25">
      <c r="A14" s="744">
        <v>4</v>
      </c>
      <c r="B14" s="587" t="s">
        <v>19</v>
      </c>
      <c r="C14" s="744">
        <v>0.15</v>
      </c>
      <c r="D14" s="744">
        <v>100</v>
      </c>
      <c r="E14" s="744">
        <f>SUM(C14*D14)</f>
        <v>15</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89</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topLeftCell="A4"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[1]оценка!R4</f>
        <v>Муниципальная программа «Создание условий для духовно-культурного развития граждан  Горного улуса  на 2020 - 2024 годы»</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100</v>
      </c>
      <c r="E11" s="744">
        <f>SUM(C11*D11)</f>
        <v>55.000000000000007</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64.5" customHeight="1"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88</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6"/>
  <sheetViews>
    <sheetView topLeftCell="A4"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[1]оценка!T4</f>
        <v>Муниципальная программа «Охрана окружающей среды в Горном улусе  на 2017-2024 годы»</v>
      </c>
      <c r="B4" s="845"/>
      <c r="C4" s="845"/>
      <c r="D4" s="845"/>
      <c r="E4" s="845"/>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t="15" hidden="1" customHeight="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80</v>
      </c>
      <c r="E11" s="744">
        <f>SUM(C11*D11)</f>
        <v>44</v>
      </c>
    </row>
    <row r="12" spans="1:5" ht="63" x14ac:dyDescent="0.25">
      <c r="A12" s="744">
        <v>2</v>
      </c>
      <c r="B12" s="587" t="s">
        <v>24</v>
      </c>
      <c r="C12" s="744">
        <v>0.01</v>
      </c>
      <c r="D12" s="745">
        <v>100</v>
      </c>
      <c r="E12" s="744">
        <f>SUM(C12*D12)</f>
        <v>1</v>
      </c>
    </row>
    <row r="13" spans="1:5" ht="47.25" x14ac:dyDescent="0.25">
      <c r="A13" s="744">
        <v>3</v>
      </c>
      <c r="B13" s="587" t="s">
        <v>25</v>
      </c>
      <c r="C13" s="744">
        <v>0.15</v>
      </c>
      <c r="D13" s="745">
        <v>100</v>
      </c>
      <c r="E13" s="744">
        <f>SUM(C13*D13)</f>
        <v>15</v>
      </c>
    </row>
    <row r="14" spans="1:5" ht="53.25" customHeight="1" x14ac:dyDescent="0.25">
      <c r="A14" s="744">
        <v>4</v>
      </c>
      <c r="B14" s="587" t="s">
        <v>19</v>
      </c>
      <c r="C14" s="744">
        <v>0.15</v>
      </c>
      <c r="D14" s="744">
        <v>20</v>
      </c>
      <c r="E14" s="744">
        <f>SUM(C14*D14)</f>
        <v>3</v>
      </c>
    </row>
    <row r="15" spans="1:5" ht="51" customHeight="1" x14ac:dyDescent="0.25">
      <c r="A15" s="746">
        <v>5</v>
      </c>
      <c r="B15" s="747" t="s">
        <v>26</v>
      </c>
      <c r="C15" s="748">
        <v>0.14000000000000001</v>
      </c>
      <c r="D15" s="748">
        <v>100</v>
      </c>
      <c r="E15" s="744">
        <f>SUM(C15*D15)</f>
        <v>14.000000000000002</v>
      </c>
    </row>
    <row r="16" spans="1:5" ht="15.75" customHeight="1" x14ac:dyDescent="0.25">
      <c r="A16" s="668"/>
      <c r="B16" s="843" t="s">
        <v>1215</v>
      </c>
      <c r="C16" s="843"/>
      <c r="D16" s="843"/>
      <c r="E16" s="749">
        <f>SUM(E11:E15)</f>
        <v>77</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7"/>
  <sheetViews>
    <sheetView topLeftCell="A4"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30" customHeight="1" x14ac:dyDescent="0.25">
      <c r="A4" s="845" t="str">
        <f>[1]оценка!U4</f>
        <v>Ведомственная целевая программа «Повышение эффективности управления муниципальными финансами муниципального района «Горный улус» на 2020-2024 годы»</v>
      </c>
      <c r="B4" s="845"/>
      <c r="C4" s="845"/>
      <c r="D4" s="845"/>
      <c r="E4" s="845"/>
    </row>
    <row r="5" spans="1:5" ht="15.75" x14ac:dyDescent="0.25">
      <c r="A5" s="845" t="s">
        <v>1219</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t="15" hidden="1" customHeight="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54">
        <v>80</v>
      </c>
      <c r="E11" s="744">
        <f>SUM(C11*D11)</f>
        <v>44</v>
      </c>
    </row>
    <row r="12" spans="1:5" ht="63" x14ac:dyDescent="0.25">
      <c r="A12" s="744">
        <v>2</v>
      </c>
      <c r="B12" s="587" t="s">
        <v>24</v>
      </c>
      <c r="C12" s="744">
        <v>0.01</v>
      </c>
      <c r="D12" s="745">
        <v>50</v>
      </c>
      <c r="E12" s="744">
        <f>SUM(C12*D12)</f>
        <v>0.5</v>
      </c>
    </row>
    <row r="13" spans="1:5" ht="47.25" x14ac:dyDescent="0.25">
      <c r="A13" s="744">
        <v>3</v>
      </c>
      <c r="B13" s="587" t="s">
        <v>25</v>
      </c>
      <c r="C13" s="744">
        <v>0.15</v>
      </c>
      <c r="D13" s="745">
        <v>100</v>
      </c>
      <c r="E13" s="744">
        <f>SUM(C13*D13)</f>
        <v>15</v>
      </c>
    </row>
    <row r="14" spans="1:5" ht="63" x14ac:dyDescent="0.25">
      <c r="A14" s="744">
        <v>4</v>
      </c>
      <c r="B14" s="587" t="s">
        <v>19</v>
      </c>
      <c r="C14" s="744">
        <v>0.15</v>
      </c>
      <c r="D14" s="744">
        <v>20</v>
      </c>
      <c r="E14" s="744">
        <f>SUM(C14*D14)</f>
        <v>3</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55">
        <f>SUM(E11:E15)</f>
        <v>76.5</v>
      </c>
    </row>
    <row r="17" spans="1:1" ht="15.75" x14ac:dyDescent="0.25">
      <c r="A17" s="750"/>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16"/>
  <sheetViews>
    <sheetView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15.75" x14ac:dyDescent="0.25">
      <c r="A4" s="852" t="str">
        <f>[1]оценка!V4</f>
        <v>Муниципальная программа «Газификация населенных пунктов муниципального района «Горный улус» на 2019-2023 годы»</v>
      </c>
      <c r="B4" s="852"/>
      <c r="C4" s="852"/>
      <c r="D4" s="852"/>
      <c r="E4" s="852"/>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80</v>
      </c>
      <c r="E11" s="744">
        <f>SUM(C11*D11)</f>
        <v>44</v>
      </c>
    </row>
    <row r="12" spans="1:5" ht="63" x14ac:dyDescent="0.25">
      <c r="A12" s="744">
        <v>2</v>
      </c>
      <c r="B12" s="587" t="s">
        <v>24</v>
      </c>
      <c r="C12" s="744">
        <v>0.01</v>
      </c>
      <c r="D12" s="756">
        <v>0</v>
      </c>
      <c r="E12" s="744">
        <f>SUM(C12*D12)</f>
        <v>0</v>
      </c>
    </row>
    <row r="13" spans="1:5" ht="48" customHeight="1" x14ac:dyDescent="0.25">
      <c r="A13" s="744">
        <v>3</v>
      </c>
      <c r="B13" s="587" t="s">
        <v>25</v>
      </c>
      <c r="C13" s="744">
        <v>0.15</v>
      </c>
      <c r="D13" s="756">
        <v>0</v>
      </c>
      <c r="E13" s="744">
        <f>SUM(C13*D13)</f>
        <v>0</v>
      </c>
    </row>
    <row r="14" spans="1:5" ht="63" x14ac:dyDescent="0.25">
      <c r="A14" s="744">
        <v>4</v>
      </c>
      <c r="B14" s="587" t="s">
        <v>19</v>
      </c>
      <c r="C14" s="744">
        <v>0.15</v>
      </c>
      <c r="D14" s="744">
        <v>100</v>
      </c>
      <c r="E14" s="744">
        <f>SUM(C14*D14)</f>
        <v>15</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57">
        <f>SUM(E11:E15)</f>
        <v>73</v>
      </c>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pageSetup paperSize="9" scale="68"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7"/>
  <sheetViews>
    <sheetView topLeftCell="A10" workbookViewId="0">
      <selection activeCell="D12" sqref="D12"/>
    </sheetView>
  </sheetViews>
  <sheetFormatPr defaultColWidth="26.85546875" defaultRowHeight="15" x14ac:dyDescent="0.25"/>
  <cols>
    <col min="1" max="1" width="6.42578125" customWidth="1"/>
    <col min="2" max="2" width="40" customWidth="1"/>
  </cols>
  <sheetData>
    <row r="1" spans="1:5" ht="15.75" x14ac:dyDescent="0.25">
      <c r="A1" s="844" t="s">
        <v>1207</v>
      </c>
      <c r="B1" s="844"/>
      <c r="C1" s="844"/>
      <c r="D1" s="844"/>
      <c r="E1" s="844"/>
    </row>
    <row r="2" spans="1:5" ht="15.75" x14ac:dyDescent="0.25">
      <c r="A2" s="844" t="s">
        <v>1208</v>
      </c>
      <c r="B2" s="844"/>
      <c r="C2" s="844"/>
      <c r="D2" s="844"/>
      <c r="E2" s="844"/>
    </row>
    <row r="3" spans="1:5" ht="15.75" x14ac:dyDescent="0.25">
      <c r="A3" s="844" t="s">
        <v>1209</v>
      </c>
      <c r="B3" s="844"/>
      <c r="C3" s="844"/>
      <c r="D3" s="844"/>
      <c r="E3" s="844"/>
    </row>
    <row r="4" spans="1:5" ht="15.75" x14ac:dyDescent="0.25">
      <c r="A4" s="852" t="str">
        <f>[1]оценка!W4</f>
        <v>Муниципальная программа «Комплексное развитие сельских территорий в Горном улусе на 2020-2025 годы»</v>
      </c>
      <c r="B4" s="852"/>
      <c r="C4" s="852"/>
      <c r="D4" s="852"/>
      <c r="E4" s="852"/>
    </row>
    <row r="5" spans="1:5" ht="15.75" x14ac:dyDescent="0.25">
      <c r="A5" s="845" t="s">
        <v>1216</v>
      </c>
      <c r="B5" s="845"/>
      <c r="C5" s="845"/>
      <c r="D5" s="845"/>
      <c r="E5" s="845"/>
    </row>
    <row r="6" spans="1:5" ht="15.75" x14ac:dyDescent="0.25">
      <c r="A6" s="742"/>
    </row>
    <row r="7" spans="1:5" ht="92.25" customHeight="1" x14ac:dyDescent="0.25">
      <c r="A7" s="846" t="s">
        <v>1</v>
      </c>
      <c r="B7" s="846" t="s">
        <v>1211</v>
      </c>
      <c r="C7" s="847" t="s">
        <v>1212</v>
      </c>
      <c r="D7" s="846" t="s">
        <v>1213</v>
      </c>
      <c r="E7" s="847" t="s">
        <v>1214</v>
      </c>
    </row>
    <row r="8" spans="1:5" ht="1.5" customHeight="1" x14ac:dyDescent="0.25">
      <c r="A8" s="846"/>
      <c r="B8" s="846"/>
      <c r="C8" s="848"/>
      <c r="D8" s="846"/>
      <c r="E8" s="850"/>
    </row>
    <row r="9" spans="1:5" hidden="1" x14ac:dyDescent="0.25">
      <c r="A9" s="846"/>
      <c r="B9" s="846"/>
      <c r="C9" s="849"/>
      <c r="D9" s="846"/>
      <c r="E9" s="851"/>
    </row>
    <row r="10" spans="1:5" x14ac:dyDescent="0.25">
      <c r="A10" s="743">
        <v>1</v>
      </c>
      <c r="B10" s="743">
        <v>2</v>
      </c>
      <c r="C10" s="743">
        <v>3</v>
      </c>
      <c r="D10" s="743">
        <v>4</v>
      </c>
      <c r="E10" s="743">
        <v>5</v>
      </c>
    </row>
    <row r="11" spans="1:5" ht="110.25" x14ac:dyDescent="0.25">
      <c r="A11" s="744">
        <v>1</v>
      </c>
      <c r="B11" s="587" t="s">
        <v>906</v>
      </c>
      <c r="C11" s="744">
        <v>0.55000000000000004</v>
      </c>
      <c r="D11" s="744">
        <v>80</v>
      </c>
      <c r="E11" s="744">
        <f>SUM(C11*D11)</f>
        <v>44</v>
      </c>
    </row>
    <row r="12" spans="1:5" ht="63" x14ac:dyDescent="0.25">
      <c r="A12" s="744">
        <v>2</v>
      </c>
      <c r="B12" s="587" t="s">
        <v>24</v>
      </c>
      <c r="C12" s="744">
        <v>0.01</v>
      </c>
      <c r="D12" s="745">
        <v>100</v>
      </c>
      <c r="E12" s="744">
        <f>SUM(C12*D12)</f>
        <v>1</v>
      </c>
    </row>
    <row r="13" spans="1:5" ht="47.25" x14ac:dyDescent="0.25">
      <c r="A13" s="744">
        <v>3</v>
      </c>
      <c r="B13" s="587" t="s">
        <v>25</v>
      </c>
      <c r="C13" s="744">
        <v>0.15</v>
      </c>
      <c r="D13" s="745">
        <v>50</v>
      </c>
      <c r="E13" s="744">
        <f>SUM(C13*D13)</f>
        <v>7.5</v>
      </c>
    </row>
    <row r="14" spans="1:5" ht="48" customHeight="1" x14ac:dyDescent="0.25">
      <c r="A14" s="744">
        <v>4</v>
      </c>
      <c r="B14" s="587" t="s">
        <v>19</v>
      </c>
      <c r="C14" s="744">
        <v>0.15</v>
      </c>
      <c r="D14" s="744">
        <v>100</v>
      </c>
      <c r="E14" s="744">
        <f>SUM(C14*D14)</f>
        <v>15</v>
      </c>
    </row>
    <row r="15" spans="1:5" ht="47.25" x14ac:dyDescent="0.25">
      <c r="A15" s="746">
        <v>5</v>
      </c>
      <c r="B15" s="747" t="s">
        <v>26</v>
      </c>
      <c r="C15" s="748">
        <v>0.14000000000000001</v>
      </c>
      <c r="D15" s="748">
        <v>100</v>
      </c>
      <c r="E15" s="744">
        <f>SUM(C15*D15)</f>
        <v>14.000000000000002</v>
      </c>
    </row>
    <row r="16" spans="1:5" ht="15.75" x14ac:dyDescent="0.25">
      <c r="A16" s="668"/>
      <c r="B16" s="843" t="s">
        <v>1215</v>
      </c>
      <c r="C16" s="843"/>
      <c r="D16" s="843"/>
      <c r="E16" s="749">
        <f>SUM(E11:E15)</f>
        <v>81.5</v>
      </c>
    </row>
    <row r="17" spans="1:1" ht="15.75" x14ac:dyDescent="0.25">
      <c r="A17" s="750"/>
    </row>
  </sheetData>
  <mergeCells count="11">
    <mergeCell ref="B16:D16"/>
    <mergeCell ref="A1:E1"/>
    <mergeCell ref="A2:E2"/>
    <mergeCell ref="A3:E3"/>
    <mergeCell ref="A4:E4"/>
    <mergeCell ref="A5:E5"/>
    <mergeCell ref="A7:A9"/>
    <mergeCell ref="B7:B9"/>
    <mergeCell ref="C7:C9"/>
    <mergeCell ref="D7:D9"/>
    <mergeCell ref="E7:E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27</vt:i4>
      </vt:variant>
      <vt:variant>
        <vt:lpstr>Именованные диапазоны</vt:lpstr>
      </vt:variant>
      <vt:variant>
        <vt:i4>2</vt:i4>
      </vt:variant>
    </vt:vector>
  </HeadingPairs>
  <TitlesOfParts>
    <vt:vector size="29" baseType="lpstr">
      <vt:lpstr>Критерии оценки</vt:lpstr>
      <vt:lpstr>свод</vt:lpstr>
      <vt:lpstr>мб</vt:lpstr>
      <vt:lpstr>инд</vt:lpstr>
      <vt:lpstr>оценка</vt:lpstr>
      <vt:lpstr>ОКЖ</vt:lpstr>
      <vt:lpstr>дорож</vt:lpstr>
      <vt:lpstr>энергосбер</vt:lpstr>
      <vt:lpstr>сх</vt:lpstr>
      <vt:lpstr>уизо</vt:lpstr>
      <vt:lpstr>предпр</vt:lpstr>
      <vt:lpstr>инф</vt:lpstr>
      <vt:lpstr>кадр</vt:lpstr>
      <vt:lpstr>охр тр</vt:lpstr>
      <vt:lpstr>старшее</vt:lpstr>
      <vt:lpstr>ПКР</vt:lpstr>
      <vt:lpstr>безбарь</vt:lpstr>
      <vt:lpstr>семейн</vt:lpstr>
      <vt:lpstr>правонаруш</vt:lpstr>
      <vt:lpstr>молодежь</vt:lpstr>
      <vt:lpstr>спорт</vt:lpstr>
      <vt:lpstr>образ</vt:lpstr>
      <vt:lpstr>УК</vt:lpstr>
      <vt:lpstr>окр ср</vt:lpstr>
      <vt:lpstr>финансы</vt:lpstr>
      <vt:lpstr>газ</vt:lpstr>
      <vt:lpstr>крст</vt:lpstr>
      <vt:lpstr>мб!Область_печати</vt:lpstr>
      <vt:lpstr>оценка!Область_печати</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Сахая Петровна</cp:lastModifiedBy>
  <cp:lastPrinted>2022-04-29T02:16:25Z</cp:lastPrinted>
  <dcterms:created xsi:type="dcterms:W3CDTF">2020-10-13T01:23:06Z</dcterms:created>
  <dcterms:modified xsi:type="dcterms:W3CDTF">2022-06-14T08:52:32Z</dcterms:modified>
</cp:coreProperties>
</file>